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'Sheet1'!$A$1:$T$75</definedName>
  </definedNames>
  <calcPr fullCalcOnLoad="1"/>
</workbook>
</file>

<file path=xl/sharedStrings.xml><?xml version="1.0" encoding="utf-8"?>
<sst xmlns="http://schemas.openxmlformats.org/spreadsheetml/2006/main" count="132" uniqueCount="39">
  <si>
    <t>BaraP</t>
  </si>
  <si>
    <t>IonP</t>
  </si>
  <si>
    <t>Plenum</t>
  </si>
  <si>
    <t>A</t>
  </si>
  <si>
    <t>B</t>
  </si>
  <si>
    <t>Argon Flow</t>
  </si>
  <si>
    <t>Throttle</t>
  </si>
  <si>
    <t>Overall</t>
  </si>
  <si>
    <t>Pump Speed</t>
  </si>
  <si>
    <t>at Plenum</t>
  </si>
  <si>
    <t>Conductance</t>
  </si>
  <si>
    <t>Throttle Valves || Path</t>
  </si>
  <si>
    <t>Chevron Baffles</t>
  </si>
  <si>
    <t>Total</t>
  </si>
  <si>
    <t>[sccm]</t>
  </si>
  <si>
    <t>[mtorr]</t>
  </si>
  <si>
    <t>[%open]</t>
  </si>
  <si>
    <t>Speed of HS32 with cold cap for Argon (0.8 that of air)</t>
  </si>
  <si>
    <t>(sccm/mtorr)/(liter/sec)</t>
  </si>
  <si>
    <t>Speed</t>
  </si>
  <si>
    <t>Pressure</t>
  </si>
  <si>
    <t xml:space="preserve">1450sccmat Max Possible </t>
  </si>
  <si>
    <t>Total &lt;1&gt;</t>
  </si>
  <si>
    <t>Max Possible &lt;2&gt;</t>
  </si>
  <si>
    <t>removed</t>
  </si>
  <si>
    <t>Zone</t>
  </si>
  <si>
    <t xml:space="preserve">Min Specified Effective Speed (with throttles closed at 9mtorr plasma zone pressure):  </t>
  </si>
  <si>
    <t xml:space="preserve">Max Specified Effective Speed (with throttles open at 1.8mtorr plasma zone pressure):  </t>
  </si>
  <si>
    <t>Zone 2:  Standard setup with Halo and throttle bars.  Both cathodes uncovered</t>
  </si>
  <si>
    <t>Zone 4:  Chevron baffles and cold-caps installed in DP8 and DP9.  Cathode ___ covered</t>
  </si>
  <si>
    <t>Zone 1:  Standard setup with Halo and throttle bars.  Cathode ___ covered</t>
  </si>
  <si>
    <t xml:space="preserve">Data suspect due to </t>
  </si>
  <si>
    <t>leak in winder</t>
  </si>
  <si>
    <t>[liter/sec]</t>
  </si>
  <si>
    <t>Fraction of Specified Speed</t>
  </si>
  <si>
    <t>at specified flow</t>
  </si>
  <si>
    <t>near specified pressure</t>
  </si>
  <si>
    <t>NV2 Pump Speed Tests</t>
  </si>
  <si>
    <t>Compared to Standard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</si>
</sst>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7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4" borderId="4" xfId="0" applyNumberFormat="1" applyFill="1" applyBorder="1" applyAlignment="1">
      <alignment/>
    </xf>
    <xf numFmtId="2" fontId="0" fillId="5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4" borderId="5" xfId="0" applyNumberFormat="1" applyFill="1" applyBorder="1" applyAlignment="1">
      <alignment/>
    </xf>
    <xf numFmtId="2" fontId="0" fillId="5" borderId="11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4" borderId="3" xfId="0" applyNumberFormat="1" applyFill="1" applyBorder="1" applyAlignment="1">
      <alignment/>
    </xf>
    <xf numFmtId="2" fontId="0" fillId="6" borderId="4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2" fontId="0" fillId="0" borderId="9" xfId="0" applyNumberFormat="1" applyBorder="1" applyAlignment="1">
      <alignment/>
    </xf>
    <xf numFmtId="2" fontId="0" fillId="6" borderId="10" xfId="0" applyNumberFormat="1" applyFill="1" applyBorder="1" applyAlignment="1">
      <alignment/>
    </xf>
    <xf numFmtId="2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4" borderId="0" xfId="0" applyNumberFormat="1" applyFill="1" applyBorder="1" applyAlignment="1">
      <alignment/>
    </xf>
    <xf numFmtId="2" fontId="0" fillId="7" borderId="0" xfId="0" applyNumberFormat="1" applyFill="1" applyBorder="1" applyAlignment="1">
      <alignment/>
    </xf>
    <xf numFmtId="0" fontId="0" fillId="3" borderId="8" xfId="0" applyFill="1" applyBorder="1" applyAlignment="1">
      <alignment/>
    </xf>
    <xf numFmtId="2" fontId="0" fillId="7" borderId="8" xfId="0" applyNumberForma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12" xfId="0" applyNumberFormat="1" applyFill="1" applyBorder="1" applyAlignment="1">
      <alignment wrapText="1"/>
    </xf>
    <xf numFmtId="2" fontId="0" fillId="0" borderId="13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zoomScale="75" zoomScaleNormal="75" workbookViewId="0" topLeftCell="A1">
      <selection activeCell="M78" sqref="M78"/>
    </sheetView>
  </sheetViews>
  <sheetFormatPr defaultColWidth="9.140625" defaultRowHeight="12.75"/>
  <cols>
    <col min="16" max="16" width="9.7109375" style="0" customWidth="1"/>
    <col min="17" max="17" width="9.140625" style="38" customWidth="1"/>
    <col min="18" max="18" width="10.00390625" style="38" customWidth="1"/>
    <col min="19" max="19" width="9.57421875" style="38" customWidth="1"/>
    <col min="20" max="20" width="2.00390625" style="0" customWidth="1"/>
  </cols>
  <sheetData>
    <row r="1" ht="12.75">
      <c r="B1" t="s">
        <v>37</v>
      </c>
    </row>
    <row r="3" spans="2:12" ht="12.75">
      <c r="B3" s="37" t="s">
        <v>26</v>
      </c>
      <c r="C3" s="37"/>
      <c r="D3" s="37"/>
      <c r="E3" s="37"/>
      <c r="F3" s="37"/>
      <c r="G3" s="37"/>
      <c r="H3" s="37"/>
      <c r="I3" s="37"/>
      <c r="J3" s="37">
        <f>1450/9/J6</f>
        <v>2039.381153305204</v>
      </c>
      <c r="L3" t="s">
        <v>30</v>
      </c>
    </row>
    <row r="4" spans="2:12" ht="12.75">
      <c r="B4" s="36" t="s">
        <v>27</v>
      </c>
      <c r="C4" s="36"/>
      <c r="D4" s="36"/>
      <c r="E4" s="36"/>
      <c r="F4" s="36"/>
      <c r="G4" s="36"/>
      <c r="H4" s="36"/>
      <c r="I4" s="36"/>
      <c r="J4" s="36">
        <f>1450/1.8/J6</f>
        <v>10196.905766526019</v>
      </c>
      <c r="L4" t="s">
        <v>28</v>
      </c>
    </row>
    <row r="5" spans="2:12" ht="12.75">
      <c r="B5" t="s">
        <v>17</v>
      </c>
      <c r="J5">
        <f>0.8*32000</f>
        <v>25600</v>
      </c>
      <c r="L5" t="s">
        <v>29</v>
      </c>
    </row>
    <row r="6" spans="2:10" ht="12.75">
      <c r="B6" t="s">
        <v>18</v>
      </c>
      <c r="J6">
        <v>0.079</v>
      </c>
    </row>
    <row r="8" spans="1:19" ht="27.75" customHeight="1">
      <c r="A8" s="12" t="s">
        <v>25</v>
      </c>
      <c r="B8" s="3" t="s">
        <v>0</v>
      </c>
      <c r="C8" s="9" t="s">
        <v>1</v>
      </c>
      <c r="D8" s="4" t="s">
        <v>2</v>
      </c>
      <c r="E8" s="3" t="s">
        <v>5</v>
      </c>
      <c r="F8" s="9"/>
      <c r="G8" s="4"/>
      <c r="H8" s="3" t="s">
        <v>6</v>
      </c>
      <c r="I8" s="4"/>
      <c r="J8" s="3" t="s">
        <v>19</v>
      </c>
      <c r="K8" s="4"/>
      <c r="L8" s="3" t="s">
        <v>10</v>
      </c>
      <c r="M8" s="9"/>
      <c r="N8" s="4"/>
      <c r="O8" s="12" t="s">
        <v>19</v>
      </c>
      <c r="P8" s="12" t="s">
        <v>20</v>
      </c>
      <c r="Q8" s="73" t="s">
        <v>34</v>
      </c>
      <c r="R8" s="74"/>
      <c r="S8" s="39" t="s">
        <v>8</v>
      </c>
    </row>
    <row r="9" spans="1:19" s="1" customFormat="1" ht="38.25">
      <c r="A9" s="13"/>
      <c r="B9" s="5"/>
      <c r="C9" s="10"/>
      <c r="D9" s="6" t="s">
        <v>0</v>
      </c>
      <c r="E9" s="5" t="s">
        <v>3</v>
      </c>
      <c r="F9" s="10" t="s">
        <v>4</v>
      </c>
      <c r="G9" s="6" t="s">
        <v>13</v>
      </c>
      <c r="H9" s="5" t="s">
        <v>3</v>
      </c>
      <c r="I9" s="6" t="s">
        <v>4</v>
      </c>
      <c r="J9" s="5" t="s">
        <v>7</v>
      </c>
      <c r="K9" s="6" t="s">
        <v>9</v>
      </c>
      <c r="L9" s="5" t="s">
        <v>22</v>
      </c>
      <c r="M9" s="10" t="s">
        <v>12</v>
      </c>
      <c r="N9" s="6" t="s">
        <v>11</v>
      </c>
      <c r="O9" s="13" t="s">
        <v>23</v>
      </c>
      <c r="P9" s="13" t="s">
        <v>21</v>
      </c>
      <c r="Q9" s="40" t="s">
        <v>35</v>
      </c>
      <c r="R9" s="41" t="s">
        <v>36</v>
      </c>
      <c r="S9" s="42" t="s">
        <v>38</v>
      </c>
    </row>
    <row r="10" spans="1:19" ht="12.75">
      <c r="A10" s="24"/>
      <c r="B10" s="7" t="s">
        <v>15</v>
      </c>
      <c r="C10" s="11" t="s">
        <v>15</v>
      </c>
      <c r="D10" s="8" t="s">
        <v>15</v>
      </c>
      <c r="E10" s="7" t="s">
        <v>14</v>
      </c>
      <c r="F10" s="11" t="s">
        <v>14</v>
      </c>
      <c r="G10" s="8" t="s">
        <v>14</v>
      </c>
      <c r="H10" s="7" t="s">
        <v>16</v>
      </c>
      <c r="I10" s="8" t="s">
        <v>16</v>
      </c>
      <c r="J10" s="7" t="s">
        <v>33</v>
      </c>
      <c r="K10" s="7" t="s">
        <v>33</v>
      </c>
      <c r="L10" s="7" t="s">
        <v>33</v>
      </c>
      <c r="M10" s="7" t="s">
        <v>33</v>
      </c>
      <c r="N10" s="7" t="s">
        <v>33</v>
      </c>
      <c r="O10" s="7" t="s">
        <v>33</v>
      </c>
      <c r="P10" s="8" t="s">
        <v>15</v>
      </c>
      <c r="Q10" s="43"/>
      <c r="R10" s="44"/>
      <c r="S10" s="45"/>
    </row>
    <row r="11" spans="1:19" ht="12.75">
      <c r="A11" s="24">
        <v>4</v>
      </c>
      <c r="B11" s="3">
        <v>0.679</v>
      </c>
      <c r="C11" s="9">
        <v>0.581</v>
      </c>
      <c r="D11" s="4">
        <f>AVERAGE(3.62,3.05)-2.96</f>
        <v>0.375</v>
      </c>
      <c r="E11" s="3">
        <v>100</v>
      </c>
      <c r="F11" s="9">
        <v>100</v>
      </c>
      <c r="G11" s="4">
        <f>E11+F11</f>
        <v>200</v>
      </c>
      <c r="H11" s="3">
        <v>100</v>
      </c>
      <c r="I11" s="4">
        <v>100</v>
      </c>
      <c r="J11" s="18">
        <f>(G11/B11)/$J$6</f>
        <v>3728.491266009209</v>
      </c>
      <c r="K11" s="19">
        <f>G11/D11/$J$6</f>
        <v>6751.054852320675</v>
      </c>
      <c r="L11" s="18">
        <f>(B11/G11*$J$6-1/(2*$J$5))^-1</f>
        <v>4021.333172480006</v>
      </c>
      <c r="M11" s="25">
        <f>(D11/G11*$J$6-1/(2*$J$5))^-1</f>
        <v>7776.427703523693</v>
      </c>
      <c r="N11" s="19">
        <f>(1/L11-1/M11)^-1</f>
        <v>8327.781479013991</v>
      </c>
      <c r="O11" s="12">
        <f aca="true" t="shared" si="0" ref="O11:O17">(1/(2*$J$5)+1/M11)^-1</f>
        <v>6751.054852320674</v>
      </c>
      <c r="P11" s="12">
        <f aca="true" t="shared" si="1" ref="P11:P17">(1450/O11)/$J$6</f>
        <v>2.7187500000000004</v>
      </c>
      <c r="Q11" s="46"/>
      <c r="R11" s="47">
        <f>(1.8/B11)*(G11/1450)</f>
        <v>0.3656492813975928</v>
      </c>
      <c r="S11" s="48"/>
    </row>
    <row r="12" spans="1:19" ht="12.75">
      <c r="A12" s="24">
        <v>4</v>
      </c>
      <c r="B12" s="15">
        <v>1.314</v>
      </c>
      <c r="C12" s="16">
        <v>1.129</v>
      </c>
      <c r="D12" s="17">
        <f>3.05-2.58</f>
        <v>0.46999999999999975</v>
      </c>
      <c r="E12" s="15">
        <v>200</v>
      </c>
      <c r="F12" s="16">
        <v>200</v>
      </c>
      <c r="G12" s="17">
        <f aca="true" t="shared" si="2" ref="G12:G19">E12+F12</f>
        <v>400</v>
      </c>
      <c r="H12" s="15">
        <v>100</v>
      </c>
      <c r="I12" s="17">
        <v>100</v>
      </c>
      <c r="J12" s="20">
        <f aca="true" t="shared" si="3" ref="J12:J17">(G12/B12)/$J$6</f>
        <v>3853.341810685317</v>
      </c>
      <c r="K12" s="21">
        <f aca="true" t="shared" si="4" ref="K12:K17">G12/D12/$J$6</f>
        <v>10772.959870724486</v>
      </c>
      <c r="L12" s="20">
        <f aca="true" t="shared" si="5" ref="L12:L17">(B12/G12*$J$6-1/(2*$J$5))^-1</f>
        <v>4166.948803825258</v>
      </c>
      <c r="M12" s="26">
        <f aca="true" t="shared" si="6" ref="M12:M17">(D12/G12*$J$6-1/(2*$J$5))^-1</f>
        <v>13643.728148716646</v>
      </c>
      <c r="N12" s="21">
        <f aca="true" t="shared" si="7" ref="N12:N17">(1/L12-1/M12)^-1</f>
        <v>5999.160117583536</v>
      </c>
      <c r="O12" s="24">
        <f t="shared" si="0"/>
        <v>10772.959870724488</v>
      </c>
      <c r="P12" s="24">
        <f t="shared" si="1"/>
        <v>1.703749999999999</v>
      </c>
      <c r="Q12" s="46"/>
      <c r="R12" s="47">
        <f aca="true" t="shared" si="8" ref="R12:R66">(1.8/B12)*(G12/1450)</f>
        <v>0.3778932451582428</v>
      </c>
      <c r="S12" s="48"/>
    </row>
    <row r="13" spans="1:19" ht="12.75">
      <c r="A13" s="24">
        <v>4</v>
      </c>
      <c r="B13" s="15">
        <v>1.9</v>
      </c>
      <c r="C13" s="16">
        <v>1.631</v>
      </c>
      <c r="D13" s="17">
        <f>AVERAGE(2.93,2.82)-2.08</f>
        <v>0.7949999999999999</v>
      </c>
      <c r="E13" s="15">
        <v>300</v>
      </c>
      <c r="F13" s="16">
        <v>300</v>
      </c>
      <c r="G13" s="17">
        <f t="shared" si="2"/>
        <v>600</v>
      </c>
      <c r="H13" s="15">
        <v>100</v>
      </c>
      <c r="I13" s="17">
        <v>100</v>
      </c>
      <c r="J13" s="20">
        <f t="shared" si="3"/>
        <v>3997.3351099267156</v>
      </c>
      <c r="K13" s="21">
        <f t="shared" si="4"/>
        <v>9553.379508000955</v>
      </c>
      <c r="L13" s="20">
        <f t="shared" si="5"/>
        <v>4335.8475226954515</v>
      </c>
      <c r="M13" s="26">
        <f t="shared" si="6"/>
        <v>11744.843279747489</v>
      </c>
      <c r="N13" s="21">
        <f t="shared" si="7"/>
        <v>6873.245890371725</v>
      </c>
      <c r="O13" s="24">
        <f t="shared" si="0"/>
        <v>9553.379508000957</v>
      </c>
      <c r="P13" s="24">
        <f t="shared" si="1"/>
        <v>1.92125</v>
      </c>
      <c r="Q13" s="46"/>
      <c r="R13" s="49">
        <f t="shared" si="8"/>
        <v>0.39201451905626133</v>
      </c>
      <c r="S13" s="50">
        <f>R13/R47</f>
        <v>0.8368421052631578</v>
      </c>
    </row>
    <row r="14" spans="1:19" ht="12.75">
      <c r="A14" s="24">
        <v>4</v>
      </c>
      <c r="B14" s="15">
        <v>2.455</v>
      </c>
      <c r="C14" s="16">
        <v>2.149</v>
      </c>
      <c r="D14" s="17">
        <f>AVERAGE(2.58,2.42)-1.16</f>
        <v>1.34</v>
      </c>
      <c r="E14" s="15">
        <v>400</v>
      </c>
      <c r="F14" s="16">
        <v>400</v>
      </c>
      <c r="G14" s="17">
        <f t="shared" si="2"/>
        <v>800</v>
      </c>
      <c r="H14" s="15">
        <v>100</v>
      </c>
      <c r="I14" s="17">
        <v>100</v>
      </c>
      <c r="J14" s="20">
        <f t="shared" si="3"/>
        <v>4124.8807651653815</v>
      </c>
      <c r="K14" s="21">
        <f t="shared" si="4"/>
        <v>7557.150954090307</v>
      </c>
      <c r="L14" s="20">
        <f t="shared" si="5"/>
        <v>4486.316733961417</v>
      </c>
      <c r="M14" s="26">
        <f t="shared" si="6"/>
        <v>8865.739458081676</v>
      </c>
      <c r="N14" s="21">
        <f t="shared" si="7"/>
        <v>9082.136572628708</v>
      </c>
      <c r="O14" s="24">
        <f t="shared" si="0"/>
        <v>7557.150954090309</v>
      </c>
      <c r="P14" s="24">
        <f t="shared" si="1"/>
        <v>2.4287499999999995</v>
      </c>
      <c r="Q14" s="46"/>
      <c r="R14" s="47">
        <f t="shared" si="8"/>
        <v>0.40452278952173604</v>
      </c>
      <c r="S14" s="51"/>
    </row>
    <row r="15" spans="1:19" ht="12.75">
      <c r="A15" s="24">
        <v>4</v>
      </c>
      <c r="B15" s="15">
        <v>2.987</v>
      </c>
      <c r="C15" s="16">
        <v>2.655</v>
      </c>
      <c r="D15" s="17">
        <f>AVERAGE(2.71,2.58)-1.16</f>
        <v>1.485</v>
      </c>
      <c r="E15" s="15">
        <v>500</v>
      </c>
      <c r="F15" s="16">
        <v>500</v>
      </c>
      <c r="G15" s="17">
        <f t="shared" si="2"/>
        <v>1000</v>
      </c>
      <c r="H15" s="15">
        <v>100</v>
      </c>
      <c r="I15" s="17">
        <v>100</v>
      </c>
      <c r="J15" s="20">
        <f t="shared" si="3"/>
        <v>4237.772965551143</v>
      </c>
      <c r="K15" s="21">
        <f t="shared" si="4"/>
        <v>8524.059156970548</v>
      </c>
      <c r="L15" s="20">
        <f t="shared" si="5"/>
        <v>4620.180718368799</v>
      </c>
      <c r="M15" s="26">
        <f t="shared" si="6"/>
        <v>10226.648088255974</v>
      </c>
      <c r="N15" s="21">
        <f t="shared" si="7"/>
        <v>8427.581789681268</v>
      </c>
      <c r="O15" s="24">
        <f t="shared" si="0"/>
        <v>8524.05915697055</v>
      </c>
      <c r="P15" s="24">
        <f t="shared" si="1"/>
        <v>2.1532499999999994</v>
      </c>
      <c r="Q15" s="46"/>
      <c r="R15" s="47">
        <f t="shared" si="8"/>
        <v>0.41559401082853287</v>
      </c>
      <c r="S15" s="48"/>
    </row>
    <row r="16" spans="1:19" ht="12.75">
      <c r="A16" s="24">
        <v>4</v>
      </c>
      <c r="B16" s="15">
        <v>3.483</v>
      </c>
      <c r="C16" s="16">
        <v>3.117</v>
      </c>
      <c r="D16" s="17">
        <f>AVERAGE(2.27,2.42)-0.82</f>
        <v>1.525</v>
      </c>
      <c r="E16" s="15">
        <v>600</v>
      </c>
      <c r="F16" s="16">
        <v>600</v>
      </c>
      <c r="G16" s="17">
        <f t="shared" si="2"/>
        <v>1200</v>
      </c>
      <c r="H16" s="15">
        <v>100</v>
      </c>
      <c r="I16" s="17">
        <v>100</v>
      </c>
      <c r="J16" s="20">
        <f t="shared" si="3"/>
        <v>4361.146545426793</v>
      </c>
      <c r="K16" s="21">
        <f t="shared" si="4"/>
        <v>9960.572732932143</v>
      </c>
      <c r="L16" s="20">
        <f t="shared" si="5"/>
        <v>4767.211121903547</v>
      </c>
      <c r="M16" s="26">
        <f t="shared" si="6"/>
        <v>12366.353213963675</v>
      </c>
      <c r="N16" s="21">
        <f t="shared" si="7"/>
        <v>7757.851592299037</v>
      </c>
      <c r="O16" s="24">
        <f t="shared" si="0"/>
        <v>9960.572732932143</v>
      </c>
      <c r="P16" s="24">
        <f t="shared" si="1"/>
        <v>1.8427083333333334</v>
      </c>
      <c r="Q16" s="46"/>
      <c r="R16" s="47">
        <f t="shared" si="8"/>
        <v>0.42769313017909644</v>
      </c>
      <c r="S16" s="48"/>
    </row>
    <row r="17" spans="1:19" ht="12.75">
      <c r="A17" s="14">
        <v>4</v>
      </c>
      <c r="B17" s="7">
        <v>4.081</v>
      </c>
      <c r="C17" s="11">
        <v>3.714</v>
      </c>
      <c r="D17" s="8">
        <f>2.27-0.5</f>
        <v>1.77</v>
      </c>
      <c r="E17" s="32">
        <v>725</v>
      </c>
      <c r="F17" s="33">
        <v>725</v>
      </c>
      <c r="G17" s="34">
        <f t="shared" si="2"/>
        <v>1450</v>
      </c>
      <c r="H17" s="7">
        <v>100</v>
      </c>
      <c r="I17" s="8">
        <v>100</v>
      </c>
      <c r="J17" s="22">
        <f t="shared" si="3"/>
        <v>4497.532560584865</v>
      </c>
      <c r="K17" s="23">
        <f t="shared" si="4"/>
        <v>10369.734677823071</v>
      </c>
      <c r="L17" s="35">
        <f t="shared" si="5"/>
        <v>4930.653126639787</v>
      </c>
      <c r="M17" s="27">
        <f t="shared" si="6"/>
        <v>13003.354529174876</v>
      </c>
      <c r="N17" s="23">
        <f t="shared" si="7"/>
        <v>7942.202674057479</v>
      </c>
      <c r="O17" s="14">
        <f t="shared" si="0"/>
        <v>10369.73467782307</v>
      </c>
      <c r="P17" s="14">
        <f t="shared" si="1"/>
        <v>1.77</v>
      </c>
      <c r="Q17" s="52">
        <f>1.8/(1450/J17/$J$6)</f>
        <v>0.44106836559666746</v>
      </c>
      <c r="R17" s="44">
        <f t="shared" si="8"/>
        <v>0.44106836559666746</v>
      </c>
      <c r="S17" s="53">
        <f>R17/Q50</f>
        <v>0.8733153638814015</v>
      </c>
    </row>
    <row r="18" spans="10:14" ht="12.75">
      <c r="J18" s="2"/>
      <c r="K18" s="2"/>
      <c r="L18" s="2"/>
      <c r="M18" s="2"/>
      <c r="N18" s="2"/>
    </row>
    <row r="19" spans="1:19" ht="12.75">
      <c r="A19" s="12">
        <v>4</v>
      </c>
      <c r="B19" s="3">
        <v>0.47</v>
      </c>
      <c r="C19" s="9">
        <v>0.635</v>
      </c>
      <c r="D19" s="9">
        <f>2-1.65</f>
        <v>0.3500000000000001</v>
      </c>
      <c r="E19" s="3">
        <v>100</v>
      </c>
      <c r="F19" s="9">
        <v>100</v>
      </c>
      <c r="G19" s="4">
        <f t="shared" si="2"/>
        <v>200</v>
      </c>
      <c r="H19" s="9" t="s">
        <v>24</v>
      </c>
      <c r="I19" s="9" t="s">
        <v>24</v>
      </c>
      <c r="J19" s="18">
        <f aca="true" t="shared" si="9" ref="J19:J25">(G19/B19)/$J$6</f>
        <v>5386.479935362241</v>
      </c>
      <c r="K19" s="19">
        <f aca="true" t="shared" si="10" ref="K19:K25">G19/D19/$J$6</f>
        <v>7233.273056057865</v>
      </c>
      <c r="L19" s="25">
        <f aca="true" t="shared" si="11" ref="L19:L25">(B19/G19*$J$6-1/(2*$J$5))^-1</f>
        <v>6019.790059821664</v>
      </c>
      <c r="M19" s="25">
        <f aca="true" t="shared" si="12" ref="M19:M25">(D19/G19*$J$6-1/(2*$J$5))^-1</f>
        <v>8423.269281389837</v>
      </c>
      <c r="N19" s="25">
        <f>(1/L19-1/M19)^-1</f>
        <v>21097.04641350212</v>
      </c>
      <c r="O19" s="12">
        <f aca="true" t="shared" si="13" ref="O19:O25">(1/(2*$J$5)+1/M19)^-1</f>
        <v>7233.273056057865</v>
      </c>
      <c r="P19" s="9">
        <f aca="true" t="shared" si="14" ref="P19:P25">(1450/O19)/$J$6</f>
        <v>2.5375000000000005</v>
      </c>
      <c r="Q19" s="58" t="s">
        <v>31</v>
      </c>
      <c r="R19" s="59">
        <f t="shared" si="8"/>
        <v>0.5282465150403521</v>
      </c>
      <c r="S19" s="59"/>
    </row>
    <row r="20" spans="1:19" ht="12.75">
      <c r="A20" s="24">
        <v>4</v>
      </c>
      <c r="B20" s="15">
        <v>0.889</v>
      </c>
      <c r="C20" s="16">
        <v>1.043</v>
      </c>
      <c r="D20" s="16">
        <f>2-1.37</f>
        <v>0.6299999999999999</v>
      </c>
      <c r="E20" s="15">
        <v>200</v>
      </c>
      <c r="F20" s="16">
        <v>200</v>
      </c>
      <c r="G20" s="17">
        <f aca="true" t="shared" si="15" ref="G20:G37">E20+F20</f>
        <v>400</v>
      </c>
      <c r="H20" s="16" t="s">
        <v>24</v>
      </c>
      <c r="I20" s="16" t="s">
        <v>24</v>
      </c>
      <c r="J20" s="20">
        <f t="shared" si="9"/>
        <v>5695.490595321155</v>
      </c>
      <c r="K20" s="21">
        <f t="shared" si="10"/>
        <v>8036.970062286519</v>
      </c>
      <c r="L20" s="26">
        <f t="shared" si="11"/>
        <v>6408.35649687192</v>
      </c>
      <c r="M20" s="26">
        <f t="shared" si="12"/>
        <v>9533.45647381279</v>
      </c>
      <c r="N20" s="26">
        <f aca="true" t="shared" si="16" ref="N20:N37">(1/L20-1/M20)^-1</f>
        <v>19549.38663799421</v>
      </c>
      <c r="O20" s="24">
        <f t="shared" si="13"/>
        <v>8036.970062286521</v>
      </c>
      <c r="P20" s="16">
        <f t="shared" si="14"/>
        <v>2.283749999999999</v>
      </c>
      <c r="Q20" s="46" t="s">
        <v>32</v>
      </c>
      <c r="R20" s="47">
        <f t="shared" si="8"/>
        <v>0.5585508707963229</v>
      </c>
      <c r="S20" s="47"/>
    </row>
    <row r="21" spans="1:19" ht="12.75">
      <c r="A21" s="24">
        <v>4</v>
      </c>
      <c r="B21" s="15">
        <v>1.277</v>
      </c>
      <c r="C21" s="16">
        <v>1.426</v>
      </c>
      <c r="D21" s="16">
        <f>2-1.09</f>
        <v>0.9099999999999999</v>
      </c>
      <c r="E21" s="15">
        <v>300</v>
      </c>
      <c r="F21" s="16">
        <v>300</v>
      </c>
      <c r="G21" s="17">
        <f t="shared" si="15"/>
        <v>600</v>
      </c>
      <c r="H21" s="16" t="s">
        <v>24</v>
      </c>
      <c r="I21" s="16" t="s">
        <v>24</v>
      </c>
      <c r="J21" s="20">
        <f t="shared" si="9"/>
        <v>5947.48371876332</v>
      </c>
      <c r="K21" s="21">
        <f t="shared" si="10"/>
        <v>8346.084295451385</v>
      </c>
      <c r="L21" s="26">
        <f t="shared" si="11"/>
        <v>6729.154341566267</v>
      </c>
      <c r="M21" s="26">
        <f t="shared" si="12"/>
        <v>9971.539564160626</v>
      </c>
      <c r="N21" s="26">
        <f t="shared" si="16"/>
        <v>20694.650432863105</v>
      </c>
      <c r="O21" s="24">
        <f t="shared" si="13"/>
        <v>8346.084295451385</v>
      </c>
      <c r="P21" s="16">
        <f t="shared" si="14"/>
        <v>2.1991666666666667</v>
      </c>
      <c r="Q21" s="46"/>
      <c r="R21" s="47">
        <f t="shared" si="8"/>
        <v>0.5832635757297546</v>
      </c>
      <c r="S21" s="47"/>
    </row>
    <row r="22" spans="1:19" ht="12.75">
      <c r="A22" s="24">
        <v>4</v>
      </c>
      <c r="B22" s="15">
        <v>1.629</v>
      </c>
      <c r="C22" s="16">
        <v>1.797</v>
      </c>
      <c r="D22" s="16">
        <f>2-0.83</f>
        <v>1.17</v>
      </c>
      <c r="E22" s="15">
        <v>400</v>
      </c>
      <c r="F22" s="16">
        <v>400</v>
      </c>
      <c r="G22" s="17">
        <f t="shared" si="15"/>
        <v>800</v>
      </c>
      <c r="H22" s="16" t="s">
        <v>24</v>
      </c>
      <c r="I22" s="16" t="s">
        <v>24</v>
      </c>
      <c r="J22" s="20">
        <f t="shared" si="9"/>
        <v>6216.4409321553185</v>
      </c>
      <c r="K22" s="21">
        <f t="shared" si="10"/>
        <v>8655.19852861625</v>
      </c>
      <c r="L22" s="26">
        <f t="shared" si="11"/>
        <v>7075.513416942317</v>
      </c>
      <c r="M22" s="26">
        <f t="shared" si="12"/>
        <v>10415.988542412606</v>
      </c>
      <c r="N22" s="26">
        <f t="shared" si="16"/>
        <v>22062.27075921789</v>
      </c>
      <c r="O22" s="24">
        <f t="shared" si="13"/>
        <v>8655.19852861625</v>
      </c>
      <c r="P22" s="16">
        <f t="shared" si="14"/>
        <v>2.1206249999999995</v>
      </c>
      <c r="Q22" s="46"/>
      <c r="R22" s="47">
        <f t="shared" si="8"/>
        <v>0.6096399314155078</v>
      </c>
      <c r="S22" s="47"/>
    </row>
    <row r="23" spans="1:19" ht="12.75">
      <c r="A23" s="24">
        <v>4</v>
      </c>
      <c r="B23" s="15">
        <v>1.9669999999999999</v>
      </c>
      <c r="C23" s="16">
        <v>2.159</v>
      </c>
      <c r="D23" s="16">
        <f>2-0.58</f>
        <v>1.42</v>
      </c>
      <c r="E23" s="15">
        <v>500</v>
      </c>
      <c r="F23" s="16">
        <v>500</v>
      </c>
      <c r="G23" s="17">
        <f t="shared" si="15"/>
        <v>1000</v>
      </c>
      <c r="H23" s="16" t="s">
        <v>24</v>
      </c>
      <c r="I23" s="16" t="s">
        <v>24</v>
      </c>
      <c r="J23" s="20">
        <f t="shared" si="9"/>
        <v>6435.296313218742</v>
      </c>
      <c r="K23" s="21">
        <f t="shared" si="10"/>
        <v>8914.244963451596</v>
      </c>
      <c r="L23" s="26">
        <f t="shared" si="11"/>
        <v>7360.4233715523305</v>
      </c>
      <c r="M23" s="26">
        <f t="shared" si="12"/>
        <v>10793.453770288323</v>
      </c>
      <c r="N23" s="26">
        <f t="shared" si="16"/>
        <v>23141.184365815825</v>
      </c>
      <c r="O23" s="24">
        <f t="shared" si="13"/>
        <v>8914.244963451596</v>
      </c>
      <c r="P23" s="16">
        <f t="shared" si="14"/>
        <v>2.059</v>
      </c>
      <c r="Q23" s="46"/>
      <c r="R23" s="49">
        <f t="shared" si="8"/>
        <v>0.6311028522342795</v>
      </c>
      <c r="S23" s="61">
        <f>R23/R59</f>
        <v>1.3491357397051351</v>
      </c>
    </row>
    <row r="24" spans="1:19" ht="12.75">
      <c r="A24" s="24">
        <v>4</v>
      </c>
      <c r="B24" s="15">
        <v>2.2910000000000004</v>
      </c>
      <c r="C24" s="16">
        <v>2.506</v>
      </c>
      <c r="D24" s="16">
        <f>2-0.33</f>
        <v>1.67</v>
      </c>
      <c r="E24" s="15">
        <v>600</v>
      </c>
      <c r="F24" s="16">
        <v>600</v>
      </c>
      <c r="G24" s="17">
        <f t="shared" si="15"/>
        <v>1200</v>
      </c>
      <c r="H24" s="16" t="s">
        <v>24</v>
      </c>
      <c r="I24" s="16" t="s">
        <v>24</v>
      </c>
      <c r="J24" s="20">
        <f t="shared" si="9"/>
        <v>6630.237196735711</v>
      </c>
      <c r="K24" s="21">
        <f t="shared" si="10"/>
        <v>9095.732585461988</v>
      </c>
      <c r="L24" s="26">
        <f t="shared" si="11"/>
        <v>7616.557125765224</v>
      </c>
      <c r="M24" s="26">
        <f t="shared" si="12"/>
        <v>11060.672396709451</v>
      </c>
      <c r="N24" s="26">
        <f t="shared" si="16"/>
        <v>24460.343667828507</v>
      </c>
      <c r="O24" s="24">
        <f t="shared" si="13"/>
        <v>9095.732585461988</v>
      </c>
      <c r="P24" s="16">
        <f t="shared" si="14"/>
        <v>2.0179166666666664</v>
      </c>
      <c r="Q24" s="46"/>
      <c r="R24" s="47">
        <f t="shared" si="8"/>
        <v>0.6502205030178058</v>
      </c>
      <c r="S24" s="47"/>
    </row>
    <row r="25" spans="1:19" ht="12.75">
      <c r="A25" s="24">
        <v>4</v>
      </c>
      <c r="B25" s="15">
        <v>2.6</v>
      </c>
      <c r="C25" s="16">
        <v>2.915</v>
      </c>
      <c r="D25" s="16">
        <f>2-0.04</f>
        <v>1.96</v>
      </c>
      <c r="E25" s="54">
        <v>725</v>
      </c>
      <c r="F25" s="30">
        <v>725</v>
      </c>
      <c r="G25" s="55">
        <f t="shared" si="15"/>
        <v>1450</v>
      </c>
      <c r="H25" s="16" t="s">
        <v>24</v>
      </c>
      <c r="I25" s="16" t="s">
        <v>24</v>
      </c>
      <c r="J25" s="20">
        <f t="shared" si="9"/>
        <v>7059.396299902628</v>
      </c>
      <c r="K25" s="21">
        <f t="shared" si="10"/>
        <v>9364.505295789202</v>
      </c>
      <c r="L25" s="31">
        <f t="shared" si="11"/>
        <v>8188.403878903389</v>
      </c>
      <c r="M25" s="26">
        <f t="shared" si="12"/>
        <v>11460.666941656807</v>
      </c>
      <c r="N25" s="26">
        <f t="shared" si="16"/>
        <v>28678.797468354423</v>
      </c>
      <c r="O25" s="24">
        <f t="shared" si="13"/>
        <v>9364.505295789202</v>
      </c>
      <c r="P25" s="16">
        <f t="shared" si="14"/>
        <v>1.96</v>
      </c>
      <c r="Q25" s="60">
        <f>1.8/(1450/J25/$J$6)</f>
        <v>0.6923076923076922</v>
      </c>
      <c r="R25" s="47">
        <f t="shared" si="8"/>
        <v>0.6923076923076923</v>
      </c>
      <c r="S25" s="61">
        <f>Q25/Q50</f>
        <v>1.3707692307692305</v>
      </c>
    </row>
    <row r="26" spans="1:19" ht="12.75">
      <c r="A26" s="24"/>
      <c r="B26" s="15"/>
      <c r="C26" s="16"/>
      <c r="D26" s="16"/>
      <c r="E26" s="15"/>
      <c r="F26" s="16"/>
      <c r="G26" s="17"/>
      <c r="H26" s="16"/>
      <c r="I26" s="16"/>
      <c r="J26" s="20"/>
      <c r="K26" s="21"/>
      <c r="L26" s="26"/>
      <c r="M26" s="26"/>
      <c r="N26" s="26"/>
      <c r="O26" s="24"/>
      <c r="P26" s="16"/>
      <c r="Q26" s="46"/>
      <c r="R26" s="47"/>
      <c r="S26" s="47"/>
    </row>
    <row r="27" spans="1:19" ht="12.75">
      <c r="A27" s="24">
        <v>4</v>
      </c>
      <c r="B27" s="15">
        <v>0.446</v>
      </c>
      <c r="C27" s="16">
        <v>0.494</v>
      </c>
      <c r="D27" s="16">
        <v>0.24</v>
      </c>
      <c r="E27" s="15">
        <v>100</v>
      </c>
      <c r="F27" s="16">
        <v>100</v>
      </c>
      <c r="G27" s="17">
        <f t="shared" si="15"/>
        <v>200</v>
      </c>
      <c r="H27" s="16" t="s">
        <v>24</v>
      </c>
      <c r="I27" s="16" t="s">
        <v>24</v>
      </c>
      <c r="J27" s="20">
        <f aca="true" t="shared" si="17" ref="J27:J37">(G27/B27)/$J$6</f>
        <v>5676.335357892945</v>
      </c>
      <c r="K27" s="21">
        <f aca="true" t="shared" si="18" ref="K27:K37">G27/D27/$J$6</f>
        <v>10548.523206751055</v>
      </c>
      <c r="L27" s="26">
        <f aca="true" t="shared" si="19" ref="L27:L37">(B27/G27*$J$6-1/(2*$J$5))^-1</f>
        <v>6384.116318599324</v>
      </c>
      <c r="M27" s="26">
        <f aca="true" t="shared" si="20" ref="M27:M37">(D27/G27*$J$6-1/(2*$J$5))^-1</f>
        <v>13285.726147969777</v>
      </c>
      <c r="N27" s="26">
        <f t="shared" si="16"/>
        <v>12289.54160009831</v>
      </c>
      <c r="O27" s="24">
        <f aca="true" t="shared" si="21" ref="O27:O37">(1/(2*$J$5)+1/M27)^-1</f>
        <v>10548.523206751057</v>
      </c>
      <c r="P27" s="16">
        <f aca="true" t="shared" si="22" ref="P27:P37">(1450/O27)/$J$6</f>
        <v>1.7399999999999995</v>
      </c>
      <c r="Q27" s="46"/>
      <c r="R27" s="47">
        <f t="shared" si="8"/>
        <v>0.5566723364775011</v>
      </c>
      <c r="S27" s="47"/>
    </row>
    <row r="28" spans="1:19" ht="12.75">
      <c r="A28" s="24">
        <v>4</v>
      </c>
      <c r="B28" s="15">
        <v>0.859</v>
      </c>
      <c r="C28" s="16">
        <v>0.926</v>
      </c>
      <c r="D28" s="16">
        <v>0.5</v>
      </c>
      <c r="E28" s="15">
        <v>200</v>
      </c>
      <c r="F28" s="16">
        <v>200</v>
      </c>
      <c r="G28" s="17">
        <f t="shared" si="15"/>
        <v>400</v>
      </c>
      <c r="H28" s="16" t="s">
        <v>24</v>
      </c>
      <c r="I28" s="16" t="s">
        <v>24</v>
      </c>
      <c r="J28" s="20">
        <f t="shared" si="17"/>
        <v>5894.401791898144</v>
      </c>
      <c r="K28" s="21">
        <f t="shared" si="18"/>
        <v>10126.582278481013</v>
      </c>
      <c r="L28" s="26">
        <f t="shared" si="19"/>
        <v>6661.282130278024</v>
      </c>
      <c r="M28" s="26">
        <f t="shared" si="20"/>
        <v>12623.2741617357</v>
      </c>
      <c r="N28" s="26">
        <f t="shared" si="16"/>
        <v>14103.875039667142</v>
      </c>
      <c r="O28" s="24">
        <f t="shared" si="21"/>
        <v>10126.582278481012</v>
      </c>
      <c r="P28" s="16">
        <f t="shared" si="22"/>
        <v>1.8125000000000002</v>
      </c>
      <c r="Q28" s="46"/>
      <c r="R28" s="47">
        <f t="shared" si="8"/>
        <v>0.5780578860744249</v>
      </c>
      <c r="S28" s="47"/>
    </row>
    <row r="29" spans="1:19" ht="12.75">
      <c r="A29" s="24">
        <v>4</v>
      </c>
      <c r="B29" s="15">
        <v>1.236</v>
      </c>
      <c r="C29" s="16">
        <v>1.324</v>
      </c>
      <c r="D29" s="16">
        <v>0.75</v>
      </c>
      <c r="E29" s="15">
        <v>300</v>
      </c>
      <c r="F29" s="16">
        <v>300</v>
      </c>
      <c r="G29" s="17">
        <f t="shared" si="15"/>
        <v>600</v>
      </c>
      <c r="H29" s="16" t="s">
        <v>24</v>
      </c>
      <c r="I29" s="16" t="s">
        <v>24</v>
      </c>
      <c r="J29" s="20">
        <f t="shared" si="17"/>
        <v>6144.770800049158</v>
      </c>
      <c r="K29" s="21">
        <f t="shared" si="18"/>
        <v>10126.582278481013</v>
      </c>
      <c r="L29" s="26">
        <f t="shared" si="19"/>
        <v>6982.8135501496945</v>
      </c>
      <c r="M29" s="26">
        <f t="shared" si="20"/>
        <v>12623.2741617357</v>
      </c>
      <c r="N29" s="26">
        <f t="shared" si="16"/>
        <v>15627.441787779344</v>
      </c>
      <c r="O29" s="24">
        <f t="shared" si="21"/>
        <v>10126.582278481012</v>
      </c>
      <c r="P29" s="16">
        <f t="shared" si="22"/>
        <v>1.8125000000000002</v>
      </c>
      <c r="Q29" s="46"/>
      <c r="R29" s="47">
        <f t="shared" si="8"/>
        <v>0.6026113157013726</v>
      </c>
      <c r="S29" s="47"/>
    </row>
    <row r="30" spans="1:19" ht="12.75">
      <c r="A30" s="24">
        <v>4</v>
      </c>
      <c r="B30" s="15">
        <v>1.584</v>
      </c>
      <c r="C30" s="16">
        <v>1.705</v>
      </c>
      <c r="D30" s="16">
        <v>1</v>
      </c>
      <c r="E30" s="15">
        <v>400</v>
      </c>
      <c r="F30" s="16">
        <v>400</v>
      </c>
      <c r="G30" s="17">
        <f t="shared" si="15"/>
        <v>800</v>
      </c>
      <c r="H30" s="16" t="s">
        <v>24</v>
      </c>
      <c r="I30" s="16" t="s">
        <v>24</v>
      </c>
      <c r="J30" s="20">
        <f t="shared" si="17"/>
        <v>6393.044367727912</v>
      </c>
      <c r="K30" s="21">
        <f t="shared" si="18"/>
        <v>10126.582278481013</v>
      </c>
      <c r="L30" s="26">
        <f t="shared" si="19"/>
        <v>7305.202217128873</v>
      </c>
      <c r="M30" s="26">
        <f t="shared" si="20"/>
        <v>12623.2741617357</v>
      </c>
      <c r="N30" s="26">
        <f t="shared" si="16"/>
        <v>17340.038148083924</v>
      </c>
      <c r="O30" s="24">
        <f t="shared" si="21"/>
        <v>10126.582278481012</v>
      </c>
      <c r="P30" s="16">
        <f t="shared" si="22"/>
        <v>1.8125000000000002</v>
      </c>
      <c r="Q30" s="46"/>
      <c r="R30" s="47">
        <f t="shared" si="8"/>
        <v>0.6269592476489028</v>
      </c>
      <c r="S30" s="47"/>
    </row>
    <row r="31" spans="1:19" ht="12.75">
      <c r="A31" s="24">
        <v>4</v>
      </c>
      <c r="B31" s="15">
        <v>1.913</v>
      </c>
      <c r="C31" s="16">
        <v>2.07</v>
      </c>
      <c r="D31" s="16">
        <v>1.23</v>
      </c>
      <c r="E31" s="15">
        <v>500</v>
      </c>
      <c r="F31" s="16">
        <v>500</v>
      </c>
      <c r="G31" s="17">
        <f t="shared" si="15"/>
        <v>1000</v>
      </c>
      <c r="H31" s="16" t="s">
        <v>24</v>
      </c>
      <c r="I31" s="16" t="s">
        <v>24</v>
      </c>
      <c r="J31" s="20">
        <f t="shared" si="17"/>
        <v>6616.951305855339</v>
      </c>
      <c r="K31" s="21">
        <f t="shared" si="18"/>
        <v>10291.242152927858</v>
      </c>
      <c r="L31" s="26">
        <f t="shared" si="19"/>
        <v>7599.029603919578</v>
      </c>
      <c r="M31" s="26">
        <f t="shared" si="20"/>
        <v>12880.16615414339</v>
      </c>
      <c r="N31" s="26">
        <f t="shared" si="16"/>
        <v>18533.276497952065</v>
      </c>
      <c r="O31" s="24">
        <f t="shared" si="21"/>
        <v>10291.24215292786</v>
      </c>
      <c r="P31" s="16">
        <f t="shared" si="22"/>
        <v>1.7834999999999996</v>
      </c>
      <c r="Q31" s="46"/>
      <c r="R31" s="49">
        <f t="shared" si="8"/>
        <v>0.6489175694431927</v>
      </c>
      <c r="S31" s="61">
        <f>R31/R47</f>
        <v>1.3852587558808154</v>
      </c>
    </row>
    <row r="32" spans="1:19" ht="12.75">
      <c r="A32" s="24">
        <v>4</v>
      </c>
      <c r="B32" s="15">
        <v>2.228</v>
      </c>
      <c r="C32" s="16">
        <v>2.424</v>
      </c>
      <c r="D32" s="16">
        <v>1.47</v>
      </c>
      <c r="E32" s="15">
        <v>600</v>
      </c>
      <c r="F32" s="16">
        <v>600</v>
      </c>
      <c r="G32" s="17">
        <f t="shared" si="15"/>
        <v>1200</v>
      </c>
      <c r="H32" s="16" t="s">
        <v>24</v>
      </c>
      <c r="I32" s="16" t="s">
        <v>24</v>
      </c>
      <c r="J32" s="20">
        <f t="shared" si="17"/>
        <v>6817.716973842692</v>
      </c>
      <c r="K32" s="21">
        <f t="shared" si="18"/>
        <v>10333.24722293981</v>
      </c>
      <c r="L32" s="26">
        <f t="shared" si="19"/>
        <v>7865.010208127831</v>
      </c>
      <c r="M32" s="26">
        <f t="shared" si="20"/>
        <v>12946.031232300349</v>
      </c>
      <c r="N32" s="26">
        <f t="shared" si="16"/>
        <v>20039.41084132125</v>
      </c>
      <c r="O32" s="24">
        <f t="shared" si="21"/>
        <v>10333.24722293981</v>
      </c>
      <c r="P32" s="16">
        <f t="shared" si="22"/>
        <v>1.7762499999999999</v>
      </c>
      <c r="Q32" s="46"/>
      <c r="R32" s="47">
        <f t="shared" si="8"/>
        <v>0.6686064508140902</v>
      </c>
      <c r="S32" s="47"/>
    </row>
    <row r="33" spans="1:19" ht="12.75">
      <c r="A33" s="24">
        <v>4</v>
      </c>
      <c r="B33" s="15">
        <v>2.597</v>
      </c>
      <c r="C33" s="16">
        <v>2.838</v>
      </c>
      <c r="D33" s="16">
        <v>1.74</v>
      </c>
      <c r="E33" s="54">
        <v>725</v>
      </c>
      <c r="F33" s="30">
        <v>725</v>
      </c>
      <c r="G33" s="55">
        <f t="shared" si="15"/>
        <v>1450</v>
      </c>
      <c r="H33" s="16" t="s">
        <v>24</v>
      </c>
      <c r="I33" s="16" t="s">
        <v>24</v>
      </c>
      <c r="J33" s="20">
        <f t="shared" si="17"/>
        <v>7067.5511666333605</v>
      </c>
      <c r="K33" s="21">
        <f t="shared" si="18"/>
        <v>10548.523206751055</v>
      </c>
      <c r="L33" s="31">
        <f t="shared" si="19"/>
        <v>8199.377766185555</v>
      </c>
      <c r="M33" s="26">
        <f t="shared" si="20"/>
        <v>13285.726147969777</v>
      </c>
      <c r="N33" s="26">
        <f t="shared" si="16"/>
        <v>21417.071621641575</v>
      </c>
      <c r="O33" s="24">
        <f t="shared" si="21"/>
        <v>10548.523206751057</v>
      </c>
      <c r="P33" s="16">
        <f t="shared" si="22"/>
        <v>1.7399999999999995</v>
      </c>
      <c r="Q33" s="60">
        <f>1.8/(1450/J33/$J$6)</f>
        <v>0.693107431651906</v>
      </c>
      <c r="R33" s="47">
        <f t="shared" si="8"/>
        <v>0.693107431651906</v>
      </c>
      <c r="S33" s="61">
        <f>Q33/Q50</f>
        <v>1.372352714670774</v>
      </c>
    </row>
    <row r="34" spans="1:19" ht="12.75">
      <c r="A34" s="24">
        <v>4</v>
      </c>
      <c r="B34" s="15">
        <v>2.473</v>
      </c>
      <c r="C34" s="16">
        <v>2.847</v>
      </c>
      <c r="D34" s="16">
        <v>1.74</v>
      </c>
      <c r="E34" s="28">
        <v>1450</v>
      </c>
      <c r="F34" s="29">
        <v>0</v>
      </c>
      <c r="G34" s="17">
        <f t="shared" si="15"/>
        <v>1450</v>
      </c>
      <c r="H34" s="16" t="s">
        <v>24</v>
      </c>
      <c r="I34" s="16" t="s">
        <v>24</v>
      </c>
      <c r="J34" s="20">
        <f t="shared" si="17"/>
        <v>7421.928984936044</v>
      </c>
      <c r="K34" s="21">
        <f t="shared" si="18"/>
        <v>10548.523206751055</v>
      </c>
      <c r="L34" s="26">
        <f t="shared" si="19"/>
        <v>8680.208040641333</v>
      </c>
      <c r="M34" s="26">
        <f t="shared" si="20"/>
        <v>13285.726147969777</v>
      </c>
      <c r="N34" s="26">
        <f t="shared" si="16"/>
        <v>25040.150586284897</v>
      </c>
      <c r="O34" s="24">
        <f t="shared" si="21"/>
        <v>10548.523206751057</v>
      </c>
      <c r="P34" s="16">
        <f t="shared" si="22"/>
        <v>1.7399999999999995</v>
      </c>
      <c r="Q34" s="46">
        <f>1.8/(1450/J34/$J$6)</f>
        <v>0.7278608976951072</v>
      </c>
      <c r="R34" s="47">
        <f t="shared" si="8"/>
        <v>0.7278608976951072</v>
      </c>
      <c r="S34" s="47"/>
    </row>
    <row r="35" spans="1:19" ht="12.75">
      <c r="A35" s="24">
        <v>4</v>
      </c>
      <c r="B35" s="15">
        <v>2.709</v>
      </c>
      <c r="C35" s="16">
        <v>2.811</v>
      </c>
      <c r="D35" s="16">
        <v>1.77</v>
      </c>
      <c r="E35" s="28">
        <v>0</v>
      </c>
      <c r="F35" s="29">
        <v>1450</v>
      </c>
      <c r="G35" s="17">
        <f t="shared" si="15"/>
        <v>1450</v>
      </c>
      <c r="H35" s="16" t="s">
        <v>24</v>
      </c>
      <c r="I35" s="16" t="s">
        <v>24</v>
      </c>
      <c r="J35" s="20">
        <f t="shared" si="17"/>
        <v>6775.352668788052</v>
      </c>
      <c r="K35" s="21">
        <f t="shared" si="18"/>
        <v>10369.734677823071</v>
      </c>
      <c r="L35" s="26">
        <f t="shared" si="19"/>
        <v>7808.684536212942</v>
      </c>
      <c r="M35" s="26">
        <f t="shared" si="20"/>
        <v>13003.354529174876</v>
      </c>
      <c r="N35" s="26">
        <f t="shared" si="16"/>
        <v>19546.784216982775</v>
      </c>
      <c r="O35" s="24">
        <f t="shared" si="21"/>
        <v>10369.73467782307</v>
      </c>
      <c r="P35" s="16">
        <f t="shared" si="22"/>
        <v>1.77</v>
      </c>
      <c r="Q35" s="46">
        <f>1.8/(1450/J35/$J$6)</f>
        <v>0.6644518272425248</v>
      </c>
      <c r="R35" s="47">
        <f t="shared" si="8"/>
        <v>0.6644518272425249</v>
      </c>
      <c r="S35" s="47"/>
    </row>
    <row r="36" spans="1:19" ht="12.75">
      <c r="A36" s="24">
        <v>4</v>
      </c>
      <c r="B36" s="15">
        <v>1.302</v>
      </c>
      <c r="C36" s="16">
        <v>1.315</v>
      </c>
      <c r="D36" s="16">
        <v>0.76</v>
      </c>
      <c r="E36" s="28">
        <v>0</v>
      </c>
      <c r="F36" s="29">
        <v>600</v>
      </c>
      <c r="G36" s="17">
        <f t="shared" si="15"/>
        <v>600</v>
      </c>
      <c r="H36" s="16" t="s">
        <v>24</v>
      </c>
      <c r="I36" s="16" t="s">
        <v>24</v>
      </c>
      <c r="J36" s="20">
        <f t="shared" si="17"/>
        <v>5833.284722627311</v>
      </c>
      <c r="K36" s="21">
        <f t="shared" si="18"/>
        <v>9993.33777481679</v>
      </c>
      <c r="L36" s="26">
        <f t="shared" si="19"/>
        <v>6583.332647569515</v>
      </c>
      <c r="M36" s="26">
        <f t="shared" si="20"/>
        <v>12416.897327780223</v>
      </c>
      <c r="N36" s="26">
        <f t="shared" si="16"/>
        <v>14012.798355831654</v>
      </c>
      <c r="O36" s="24">
        <f t="shared" si="21"/>
        <v>9993.33777481679</v>
      </c>
      <c r="P36" s="16">
        <f t="shared" si="22"/>
        <v>1.8366666666666664</v>
      </c>
      <c r="Q36" s="46"/>
      <c r="R36" s="47">
        <f t="shared" si="8"/>
        <v>0.5720641983155887</v>
      </c>
      <c r="S36" s="47"/>
    </row>
    <row r="37" spans="1:19" ht="12.75">
      <c r="A37" s="14">
        <v>4</v>
      </c>
      <c r="B37" s="7">
        <v>1.166</v>
      </c>
      <c r="C37" s="11">
        <v>1.321</v>
      </c>
      <c r="D37" s="11">
        <v>0.77</v>
      </c>
      <c r="E37" s="56">
        <v>600</v>
      </c>
      <c r="F37" s="57">
        <v>0</v>
      </c>
      <c r="G37" s="8">
        <f t="shared" si="15"/>
        <v>600</v>
      </c>
      <c r="H37" s="11" t="s">
        <v>24</v>
      </c>
      <c r="I37" s="11" t="s">
        <v>24</v>
      </c>
      <c r="J37" s="22">
        <f t="shared" si="17"/>
        <v>6513.667846364288</v>
      </c>
      <c r="K37" s="23">
        <f t="shared" si="18"/>
        <v>9863.554167351635</v>
      </c>
      <c r="L37" s="27">
        <f t="shared" si="19"/>
        <v>7463.127485765639</v>
      </c>
      <c r="M37" s="27">
        <f t="shared" si="20"/>
        <v>12217.160019343837</v>
      </c>
      <c r="N37" s="27">
        <f t="shared" si="16"/>
        <v>19179.133103183736</v>
      </c>
      <c r="O37" s="14">
        <f t="shared" si="21"/>
        <v>9863.554167351636</v>
      </c>
      <c r="P37" s="11">
        <f t="shared" si="22"/>
        <v>1.8608333333333333</v>
      </c>
      <c r="Q37" s="43"/>
      <c r="R37" s="44">
        <f t="shared" si="8"/>
        <v>0.6387886674158633</v>
      </c>
      <c r="S37" s="44"/>
    </row>
    <row r="38" spans="5:16" ht="12.75">
      <c r="E38" s="29"/>
      <c r="F38" s="29"/>
      <c r="G38" s="16"/>
      <c r="H38" s="16"/>
      <c r="I38" s="16"/>
      <c r="J38" s="26"/>
      <c r="K38" s="26"/>
      <c r="L38" s="26"/>
      <c r="M38" s="26"/>
      <c r="N38" s="26"/>
      <c r="O38" s="16"/>
      <c r="P38" s="16"/>
    </row>
    <row r="39" spans="5:16" ht="12.75">
      <c r="E39" s="29"/>
      <c r="F39" s="29"/>
      <c r="G39" s="16"/>
      <c r="H39" s="16"/>
      <c r="I39" s="16"/>
      <c r="J39" s="26"/>
      <c r="K39" s="26"/>
      <c r="L39" s="26"/>
      <c r="M39" s="26"/>
      <c r="N39" s="26"/>
      <c r="O39" s="16"/>
      <c r="P39" s="16"/>
    </row>
    <row r="40" spans="1:19" ht="25.5">
      <c r="A40" s="12" t="s">
        <v>25</v>
      </c>
      <c r="B40" s="3" t="s">
        <v>0</v>
      </c>
      <c r="C40" s="9" t="s">
        <v>1</v>
      </c>
      <c r="D40" s="4" t="s">
        <v>2</v>
      </c>
      <c r="E40" s="9" t="s">
        <v>5</v>
      </c>
      <c r="F40" s="9"/>
      <c r="G40" s="4"/>
      <c r="H40" s="3" t="s">
        <v>6</v>
      </c>
      <c r="I40" s="4"/>
      <c r="J40" s="3" t="s">
        <v>19</v>
      </c>
      <c r="K40" s="4"/>
      <c r="L40" s="3" t="s">
        <v>10</v>
      </c>
      <c r="M40" s="9"/>
      <c r="N40" s="4"/>
      <c r="O40" s="12" t="s">
        <v>19</v>
      </c>
      <c r="P40" s="12" t="s">
        <v>20</v>
      </c>
      <c r="Q40" s="73" t="s">
        <v>34</v>
      </c>
      <c r="R40" s="74"/>
      <c r="S40" s="39" t="s">
        <v>8</v>
      </c>
    </row>
    <row r="41" spans="1:19" ht="38.25">
      <c r="A41" s="13"/>
      <c r="B41" s="5"/>
      <c r="C41" s="10"/>
      <c r="D41" s="6" t="s">
        <v>0</v>
      </c>
      <c r="E41" s="10" t="s">
        <v>3</v>
      </c>
      <c r="F41" s="10" t="s">
        <v>4</v>
      </c>
      <c r="G41" s="6" t="s">
        <v>13</v>
      </c>
      <c r="H41" s="5" t="s">
        <v>3</v>
      </c>
      <c r="I41" s="6" t="s">
        <v>4</v>
      </c>
      <c r="J41" s="5" t="s">
        <v>7</v>
      </c>
      <c r="K41" s="6" t="s">
        <v>9</v>
      </c>
      <c r="L41" s="5" t="s">
        <v>22</v>
      </c>
      <c r="M41" s="10" t="s">
        <v>12</v>
      </c>
      <c r="N41" s="6" t="s">
        <v>11</v>
      </c>
      <c r="O41" s="13" t="s">
        <v>23</v>
      </c>
      <c r="P41" s="13" t="s">
        <v>21</v>
      </c>
      <c r="Q41" s="40" t="s">
        <v>35</v>
      </c>
      <c r="R41" s="41" t="s">
        <v>36</v>
      </c>
      <c r="S41" s="42" t="s">
        <v>38</v>
      </c>
    </row>
    <row r="42" spans="1:19" ht="12.75">
      <c r="A42" s="14"/>
      <c r="B42" s="7" t="s">
        <v>15</v>
      </c>
      <c r="C42" s="11" t="s">
        <v>15</v>
      </c>
      <c r="D42" s="8" t="s">
        <v>15</v>
      </c>
      <c r="E42" s="11" t="s">
        <v>14</v>
      </c>
      <c r="F42" s="11" t="s">
        <v>14</v>
      </c>
      <c r="G42" s="8" t="s">
        <v>14</v>
      </c>
      <c r="H42" s="7" t="s">
        <v>16</v>
      </c>
      <c r="I42" s="8" t="s">
        <v>16</v>
      </c>
      <c r="J42" s="7" t="s">
        <v>33</v>
      </c>
      <c r="K42" s="7" t="s">
        <v>33</v>
      </c>
      <c r="L42" s="7" t="s">
        <v>33</v>
      </c>
      <c r="M42" s="7" t="s">
        <v>33</v>
      </c>
      <c r="N42" s="7" t="s">
        <v>33</v>
      </c>
      <c r="O42" s="7" t="s">
        <v>33</v>
      </c>
      <c r="P42" s="8" t="s">
        <v>15</v>
      </c>
      <c r="Q42" s="43"/>
      <c r="R42" s="44"/>
      <c r="S42" s="45"/>
    </row>
    <row r="43" spans="1:19" ht="12.75">
      <c r="A43" s="3"/>
      <c r="B43" s="3"/>
      <c r="C43" s="9"/>
      <c r="D43" s="4"/>
      <c r="E43" s="9"/>
      <c r="F43" s="9"/>
      <c r="G43" s="9"/>
      <c r="H43" s="3"/>
      <c r="I43" s="4"/>
      <c r="J43" s="25"/>
      <c r="K43" s="25"/>
      <c r="L43" s="18"/>
      <c r="M43" s="25"/>
      <c r="N43" s="19"/>
      <c r="O43" s="9"/>
      <c r="P43" s="12"/>
      <c r="Q43" s="66"/>
      <c r="R43" s="66"/>
      <c r="S43" s="64"/>
    </row>
    <row r="44" spans="1:19" ht="12.75">
      <c r="A44" s="15">
        <v>2</v>
      </c>
      <c r="B44" s="15">
        <v>0.582</v>
      </c>
      <c r="C44" s="16"/>
      <c r="D44" s="17"/>
      <c r="E44" s="16">
        <v>100</v>
      </c>
      <c r="F44" s="16">
        <v>100</v>
      </c>
      <c r="G44" s="16">
        <f aca="true" t="shared" si="23" ref="G44:G54">E44+F44</f>
        <v>200</v>
      </c>
      <c r="H44" s="15">
        <v>100</v>
      </c>
      <c r="I44" s="17">
        <v>100</v>
      </c>
      <c r="J44" s="26">
        <f aca="true" t="shared" si="24" ref="J44:J54">(G44/B44)/$J$6</f>
        <v>4349.906477010744</v>
      </c>
      <c r="K44" s="26"/>
      <c r="L44" s="20">
        <f aca="true" t="shared" si="25" ref="L44:L54">(B44/G44*$J$6-1/(2*$J$5))^-1</f>
        <v>4753.7837147254395</v>
      </c>
      <c r="M44" s="26"/>
      <c r="N44" s="21"/>
      <c r="O44" s="16"/>
      <c r="P44" s="24"/>
      <c r="Q44" s="67"/>
      <c r="R44" s="67">
        <f t="shared" si="8"/>
        <v>0.42659082829719164</v>
      </c>
      <c r="S44" s="48"/>
    </row>
    <row r="45" spans="1:19" ht="12.75">
      <c r="A45" s="15">
        <v>2</v>
      </c>
      <c r="B45" s="15">
        <v>1.127</v>
      </c>
      <c r="C45" s="16"/>
      <c r="D45" s="17"/>
      <c r="E45" s="16">
        <v>200</v>
      </c>
      <c r="F45" s="16">
        <v>200</v>
      </c>
      <c r="G45" s="16">
        <f t="shared" si="23"/>
        <v>400</v>
      </c>
      <c r="H45" s="15">
        <v>100</v>
      </c>
      <c r="I45" s="17">
        <v>100</v>
      </c>
      <c r="J45" s="26">
        <f t="shared" si="24"/>
        <v>4492.716183886873</v>
      </c>
      <c r="K45" s="26"/>
      <c r="L45" s="20">
        <f t="shared" si="25"/>
        <v>4924.865027917828</v>
      </c>
      <c r="M45" s="26"/>
      <c r="N45" s="21"/>
      <c r="O45" s="16"/>
      <c r="P45" s="24"/>
      <c r="Q45" s="67"/>
      <c r="R45" s="67">
        <f t="shared" si="8"/>
        <v>0.4405960285163541</v>
      </c>
      <c r="S45" s="48"/>
    </row>
    <row r="46" spans="1:19" ht="12.75">
      <c r="A46" s="15">
        <v>2</v>
      </c>
      <c r="B46" s="15">
        <v>1.639</v>
      </c>
      <c r="C46" s="16"/>
      <c r="D46" s="17"/>
      <c r="E46" s="16">
        <v>300</v>
      </c>
      <c r="F46" s="16">
        <v>300</v>
      </c>
      <c r="G46" s="16">
        <f t="shared" si="23"/>
        <v>600</v>
      </c>
      <c r="H46" s="15">
        <v>100</v>
      </c>
      <c r="I46" s="17">
        <v>100</v>
      </c>
      <c r="J46" s="26">
        <f t="shared" si="24"/>
        <v>4633.884508151776</v>
      </c>
      <c r="K46" s="26"/>
      <c r="L46" s="20">
        <f t="shared" si="25"/>
        <v>5095.0113470148535</v>
      </c>
      <c r="M46" s="26"/>
      <c r="N46" s="21"/>
      <c r="O46" s="16"/>
      <c r="P46" s="24"/>
      <c r="Q46" s="67"/>
      <c r="R46" s="67">
        <f t="shared" si="8"/>
        <v>0.45444026004081545</v>
      </c>
      <c r="S46" s="48"/>
    </row>
    <row r="47" spans="1:19" ht="12.75">
      <c r="A47" s="15">
        <v>2</v>
      </c>
      <c r="B47" s="15">
        <v>2.12</v>
      </c>
      <c r="C47" s="16"/>
      <c r="D47" s="17"/>
      <c r="E47" s="16">
        <v>400</v>
      </c>
      <c r="F47" s="16">
        <v>400</v>
      </c>
      <c r="G47" s="16">
        <f t="shared" si="23"/>
        <v>800</v>
      </c>
      <c r="H47" s="15">
        <v>100</v>
      </c>
      <c r="I47" s="17">
        <v>100</v>
      </c>
      <c r="J47" s="26">
        <f t="shared" si="24"/>
        <v>4776.6897540004775</v>
      </c>
      <c r="K47" s="26"/>
      <c r="L47" s="20">
        <f t="shared" si="25"/>
        <v>5268.1834644891505</v>
      </c>
      <c r="M47" s="26"/>
      <c r="N47" s="21"/>
      <c r="O47" s="16"/>
      <c r="P47" s="24"/>
      <c r="Q47" s="67"/>
      <c r="R47" s="68">
        <f t="shared" si="8"/>
        <v>0.4684450227716331</v>
      </c>
      <c r="S47" s="65">
        <v>1</v>
      </c>
    </row>
    <row r="48" spans="1:19" ht="12.75">
      <c r="A48" s="15">
        <v>2</v>
      </c>
      <c r="B48" s="15">
        <v>2.587</v>
      </c>
      <c r="C48" s="16"/>
      <c r="D48" s="17"/>
      <c r="E48" s="16">
        <v>500</v>
      </c>
      <c r="F48" s="16">
        <v>500</v>
      </c>
      <c r="G48" s="16">
        <f t="shared" si="23"/>
        <v>1000</v>
      </c>
      <c r="H48" s="15">
        <v>100</v>
      </c>
      <c r="I48" s="17">
        <v>100</v>
      </c>
      <c r="J48" s="26">
        <f t="shared" si="24"/>
        <v>4893.014243564463</v>
      </c>
      <c r="K48" s="26"/>
      <c r="L48" s="20">
        <f t="shared" si="25"/>
        <v>5410.033177028457</v>
      </c>
      <c r="M48" s="26"/>
      <c r="N48" s="21"/>
      <c r="O48" s="16"/>
      <c r="P48" s="24"/>
      <c r="Q48" s="67"/>
      <c r="R48" s="67">
        <f t="shared" si="8"/>
        <v>0.4798528451274942</v>
      </c>
      <c r="S48" s="48"/>
    </row>
    <row r="49" spans="1:19" ht="12.75">
      <c r="A49" s="15">
        <v>2</v>
      </c>
      <c r="B49" s="15">
        <v>3.036</v>
      </c>
      <c r="C49" s="16"/>
      <c r="D49" s="17"/>
      <c r="E49" s="16">
        <v>600</v>
      </c>
      <c r="F49" s="16">
        <v>600</v>
      </c>
      <c r="G49" s="16">
        <f t="shared" si="23"/>
        <v>1200</v>
      </c>
      <c r="H49" s="15">
        <v>100</v>
      </c>
      <c r="I49" s="17">
        <v>100</v>
      </c>
      <c r="J49" s="26">
        <f t="shared" si="24"/>
        <v>5003.2521138740185</v>
      </c>
      <c r="K49" s="26"/>
      <c r="L49" s="20">
        <f t="shared" si="25"/>
        <v>5545.119947875872</v>
      </c>
      <c r="M49" s="26"/>
      <c r="N49" s="21"/>
      <c r="O49" s="16"/>
      <c r="P49" s="24"/>
      <c r="Q49" s="67"/>
      <c r="R49" s="67">
        <f t="shared" si="8"/>
        <v>0.49066375902957615</v>
      </c>
      <c r="S49" s="48"/>
    </row>
    <row r="50" spans="1:19" ht="12.75">
      <c r="A50" s="15">
        <v>2</v>
      </c>
      <c r="B50" s="15">
        <v>3.564</v>
      </c>
      <c r="C50" s="16"/>
      <c r="D50" s="17"/>
      <c r="E50" s="30">
        <v>725</v>
      </c>
      <c r="F50" s="30">
        <v>725</v>
      </c>
      <c r="G50" s="30">
        <f t="shared" si="23"/>
        <v>1450</v>
      </c>
      <c r="H50" s="15">
        <v>100</v>
      </c>
      <c r="I50" s="17">
        <v>100</v>
      </c>
      <c r="J50" s="26">
        <f t="shared" si="24"/>
        <v>5149.952407336374</v>
      </c>
      <c r="K50" s="26"/>
      <c r="L50" s="62">
        <f t="shared" si="25"/>
        <v>5725.891221394299</v>
      </c>
      <c r="M50" s="26"/>
      <c r="N50" s="21"/>
      <c r="O50" s="16"/>
      <c r="P50" s="24"/>
      <c r="Q50" s="68">
        <f>1.8/(1450/J50/$J$6)</f>
        <v>0.5050505050505051</v>
      </c>
      <c r="R50" s="67">
        <f t="shared" si="8"/>
        <v>0.5050505050505051</v>
      </c>
      <c r="S50" s="65">
        <v>1</v>
      </c>
    </row>
    <row r="51" spans="1:19" ht="12.75">
      <c r="A51" s="15">
        <v>2</v>
      </c>
      <c r="B51" s="15">
        <v>3.59</v>
      </c>
      <c r="C51" s="16"/>
      <c r="D51" s="17"/>
      <c r="E51" s="29">
        <v>0</v>
      </c>
      <c r="F51" s="29">
        <v>1450</v>
      </c>
      <c r="G51" s="16">
        <f t="shared" si="23"/>
        <v>1450</v>
      </c>
      <c r="H51" s="15">
        <v>100</v>
      </c>
      <c r="I51" s="17">
        <v>100</v>
      </c>
      <c r="J51" s="26">
        <f t="shared" si="24"/>
        <v>5112.654701879342</v>
      </c>
      <c r="K51" s="26"/>
      <c r="L51" s="20">
        <f t="shared" si="25"/>
        <v>5679.822064884623</v>
      </c>
      <c r="M51" s="26"/>
      <c r="N51" s="21"/>
      <c r="O51" s="16"/>
      <c r="P51" s="24"/>
      <c r="Q51" s="67"/>
      <c r="R51" s="67">
        <f t="shared" si="8"/>
        <v>0.5013927576601671</v>
      </c>
      <c r="S51" s="48"/>
    </row>
    <row r="52" spans="1:19" ht="12.75">
      <c r="A52" s="15">
        <v>2</v>
      </c>
      <c r="B52" s="15">
        <v>3.592</v>
      </c>
      <c r="C52" s="16"/>
      <c r="D52" s="17"/>
      <c r="E52" s="29">
        <v>1450</v>
      </c>
      <c r="F52" s="29">
        <v>0</v>
      </c>
      <c r="G52" s="16">
        <f t="shared" si="23"/>
        <v>1450</v>
      </c>
      <c r="H52" s="15">
        <v>100</v>
      </c>
      <c r="I52" s="17">
        <v>100</v>
      </c>
      <c r="J52" s="26">
        <f t="shared" si="24"/>
        <v>5109.808012178963</v>
      </c>
      <c r="K52" s="26"/>
      <c r="L52" s="20">
        <f t="shared" si="25"/>
        <v>5676.308970305319</v>
      </c>
      <c r="M52" s="26"/>
      <c r="N52" s="21"/>
      <c r="O52" s="16"/>
      <c r="P52" s="24"/>
      <c r="Q52" s="67"/>
      <c r="R52" s="67">
        <f t="shared" si="8"/>
        <v>0.5011135857461024</v>
      </c>
      <c r="S52" s="48"/>
    </row>
    <row r="53" spans="1:19" ht="12.75">
      <c r="A53" s="15">
        <v>2</v>
      </c>
      <c r="B53" s="15">
        <v>1.665</v>
      </c>
      <c r="C53" s="16"/>
      <c r="D53" s="17"/>
      <c r="E53" s="29">
        <v>600</v>
      </c>
      <c r="F53" s="29">
        <v>0</v>
      </c>
      <c r="G53" s="16">
        <f t="shared" si="23"/>
        <v>600</v>
      </c>
      <c r="H53" s="15">
        <v>100</v>
      </c>
      <c r="I53" s="17">
        <v>100</v>
      </c>
      <c r="J53" s="26">
        <f t="shared" si="24"/>
        <v>4561.523548865321</v>
      </c>
      <c r="K53" s="26"/>
      <c r="L53" s="20">
        <f t="shared" si="25"/>
        <v>5007.667991612156</v>
      </c>
      <c r="M53" s="26"/>
      <c r="N53" s="21"/>
      <c r="O53" s="16"/>
      <c r="P53" s="24"/>
      <c r="Q53" s="67"/>
      <c r="R53" s="67">
        <f t="shared" si="8"/>
        <v>0.4473438956197577</v>
      </c>
      <c r="S53" s="48"/>
    </row>
    <row r="54" spans="1:19" ht="12.75">
      <c r="A54" s="15">
        <v>2</v>
      </c>
      <c r="B54" s="15">
        <v>1.676</v>
      </c>
      <c r="C54" s="16"/>
      <c r="D54" s="17"/>
      <c r="E54" s="29">
        <v>0</v>
      </c>
      <c r="F54" s="29">
        <v>600</v>
      </c>
      <c r="G54" s="16">
        <f t="shared" si="23"/>
        <v>600</v>
      </c>
      <c r="H54" s="15">
        <v>100</v>
      </c>
      <c r="I54" s="17">
        <v>100</v>
      </c>
      <c r="J54" s="26">
        <f t="shared" si="24"/>
        <v>4531.58514848494</v>
      </c>
      <c r="K54" s="26"/>
      <c r="L54" s="20">
        <f t="shared" si="25"/>
        <v>4971.610035194855</v>
      </c>
      <c r="M54" s="26"/>
      <c r="N54" s="21"/>
      <c r="O54" s="16"/>
      <c r="P54" s="24"/>
      <c r="Q54" s="67"/>
      <c r="R54" s="67">
        <f t="shared" si="8"/>
        <v>0.4444078676652128</v>
      </c>
      <c r="S54" s="48"/>
    </row>
    <row r="55" spans="1:19" ht="12.75">
      <c r="A55" s="15"/>
      <c r="B55" s="15"/>
      <c r="C55" s="16"/>
      <c r="D55" s="17"/>
      <c r="E55" s="16"/>
      <c r="F55" s="16"/>
      <c r="G55" s="16"/>
      <c r="H55" s="15"/>
      <c r="I55" s="17"/>
      <c r="J55" s="26"/>
      <c r="K55" s="26"/>
      <c r="L55" s="20"/>
      <c r="M55" s="26"/>
      <c r="N55" s="21"/>
      <c r="O55" s="16"/>
      <c r="P55" s="24"/>
      <c r="Q55" s="67"/>
      <c r="R55" s="67"/>
      <c r="S55" s="48"/>
    </row>
    <row r="56" spans="1:19" ht="12.75">
      <c r="A56" s="15">
        <v>1</v>
      </c>
      <c r="B56" s="15">
        <v>0.558</v>
      </c>
      <c r="C56" s="16"/>
      <c r="D56" s="17"/>
      <c r="E56" s="16">
        <v>100</v>
      </c>
      <c r="F56" s="16">
        <v>100</v>
      </c>
      <c r="G56" s="16">
        <f aca="true" t="shared" si="26" ref="G56:G74">E56+F56</f>
        <v>200</v>
      </c>
      <c r="H56" s="15">
        <v>100</v>
      </c>
      <c r="I56" s="17">
        <v>100</v>
      </c>
      <c r="J56" s="26">
        <f aca="true" t="shared" si="27" ref="J56:J74">(G56/B56)/$J$6</f>
        <v>4536.99922871013</v>
      </c>
      <c r="K56" s="26"/>
      <c r="L56" s="20">
        <f aca="true" t="shared" si="28" ref="L56:L74">(B56/G56*$J$6-1/(2*$J$5))^-1</f>
        <v>4978.1273529430055</v>
      </c>
      <c r="M56" s="26"/>
      <c r="N56" s="21"/>
      <c r="O56" s="16"/>
      <c r="P56" s="24"/>
      <c r="Q56" s="67"/>
      <c r="R56" s="67">
        <f t="shared" si="8"/>
        <v>0.44493882091212456</v>
      </c>
      <c r="S56" s="48"/>
    </row>
    <row r="57" spans="1:19" ht="12.75">
      <c r="A57" s="15">
        <v>1</v>
      </c>
      <c r="B57" s="15">
        <v>1.116</v>
      </c>
      <c r="C57" s="16"/>
      <c r="D57" s="17"/>
      <c r="E57" s="16">
        <v>200</v>
      </c>
      <c r="F57" s="16">
        <v>200</v>
      </c>
      <c r="G57" s="16">
        <f t="shared" si="26"/>
        <v>400</v>
      </c>
      <c r="H57" s="15">
        <v>100</v>
      </c>
      <c r="I57" s="17">
        <v>100</v>
      </c>
      <c r="J57" s="26">
        <f t="shared" si="27"/>
        <v>4536.99922871013</v>
      </c>
      <c r="K57" s="26"/>
      <c r="L57" s="20">
        <f t="shared" si="28"/>
        <v>4978.1273529430055</v>
      </c>
      <c r="M57" s="26"/>
      <c r="N57" s="21"/>
      <c r="O57" s="16"/>
      <c r="P57" s="24"/>
      <c r="Q57" s="67"/>
      <c r="R57" s="67">
        <f t="shared" si="8"/>
        <v>0.44493882091212456</v>
      </c>
      <c r="S57" s="48"/>
    </row>
    <row r="58" spans="1:19" ht="12.75">
      <c r="A58" s="15">
        <v>1</v>
      </c>
      <c r="B58" s="15">
        <v>1.635</v>
      </c>
      <c r="C58" s="16"/>
      <c r="D58" s="17"/>
      <c r="E58" s="16">
        <v>300</v>
      </c>
      <c r="F58" s="16">
        <v>300</v>
      </c>
      <c r="G58" s="16">
        <f t="shared" si="26"/>
        <v>600</v>
      </c>
      <c r="H58" s="15">
        <v>100</v>
      </c>
      <c r="I58" s="17">
        <v>100</v>
      </c>
      <c r="J58" s="26">
        <f t="shared" si="27"/>
        <v>4645.221228661015</v>
      </c>
      <c r="K58" s="26"/>
      <c r="L58" s="20">
        <f t="shared" si="28"/>
        <v>5108.71994635844</v>
      </c>
      <c r="M58" s="26"/>
      <c r="N58" s="21"/>
      <c r="O58" s="16"/>
      <c r="P58" s="24"/>
      <c r="Q58" s="67"/>
      <c r="R58" s="67">
        <f t="shared" si="8"/>
        <v>0.4555520404935147</v>
      </c>
      <c r="S58" s="48"/>
    </row>
    <row r="59" spans="1:19" ht="12.75">
      <c r="A59" s="15">
        <v>1</v>
      </c>
      <c r="B59" s="15">
        <v>2.123</v>
      </c>
      <c r="C59" s="16"/>
      <c r="D59" s="17"/>
      <c r="E59" s="16">
        <v>400</v>
      </c>
      <c r="F59" s="16">
        <v>400</v>
      </c>
      <c r="G59" s="16">
        <f t="shared" si="26"/>
        <v>800</v>
      </c>
      <c r="H59" s="15">
        <v>100</v>
      </c>
      <c r="I59" s="17">
        <v>100</v>
      </c>
      <c r="J59" s="26">
        <f t="shared" si="27"/>
        <v>4769.939839133778</v>
      </c>
      <c r="K59" s="26"/>
      <c r="L59" s="20">
        <f t="shared" si="28"/>
        <v>5259.974226126291</v>
      </c>
      <c r="M59" s="26"/>
      <c r="N59" s="21"/>
      <c r="O59" s="16"/>
      <c r="P59" s="24"/>
      <c r="Q59" s="67"/>
      <c r="R59" s="68">
        <f t="shared" si="8"/>
        <v>0.4677830656033264</v>
      </c>
      <c r="S59" s="65">
        <f>R59/R47</f>
        <v>0.9985869053226564</v>
      </c>
    </row>
    <row r="60" spans="1:19" ht="12.75">
      <c r="A60" s="15">
        <v>1</v>
      </c>
      <c r="B60" s="15">
        <v>2.594</v>
      </c>
      <c r="C60" s="16"/>
      <c r="D60" s="17"/>
      <c r="E60" s="16">
        <v>500</v>
      </c>
      <c r="F60" s="16">
        <v>500</v>
      </c>
      <c r="G60" s="16">
        <f t="shared" si="26"/>
        <v>1000</v>
      </c>
      <c r="H60" s="15">
        <v>100</v>
      </c>
      <c r="I60" s="17">
        <v>100</v>
      </c>
      <c r="J60" s="26">
        <f t="shared" si="27"/>
        <v>4879.810272976587</v>
      </c>
      <c r="K60" s="26"/>
      <c r="L60" s="20">
        <f t="shared" si="28"/>
        <v>5393.895997594323</v>
      </c>
      <c r="M60" s="26"/>
      <c r="N60" s="21"/>
      <c r="O60" s="16"/>
      <c r="P60" s="24"/>
      <c r="Q60" s="67"/>
      <c r="R60" s="67">
        <f t="shared" si="8"/>
        <v>0.4785579453912212</v>
      </c>
      <c r="S60" s="48"/>
    </row>
    <row r="61" spans="1:19" ht="12.75">
      <c r="A61" s="15">
        <v>1</v>
      </c>
      <c r="B61" s="15">
        <v>3.043</v>
      </c>
      <c r="C61" s="16"/>
      <c r="D61" s="17"/>
      <c r="E61" s="16">
        <v>600</v>
      </c>
      <c r="F61" s="16">
        <v>600</v>
      </c>
      <c r="G61" s="16">
        <f t="shared" si="26"/>
        <v>1200</v>
      </c>
      <c r="H61" s="15">
        <v>100</v>
      </c>
      <c r="I61" s="17">
        <v>100</v>
      </c>
      <c r="J61" s="26">
        <f t="shared" si="27"/>
        <v>4991.742825409634</v>
      </c>
      <c r="K61" s="26"/>
      <c r="L61" s="20">
        <f t="shared" si="28"/>
        <v>5530.986197884858</v>
      </c>
      <c r="M61" s="26"/>
      <c r="N61" s="21"/>
      <c r="O61" s="16"/>
      <c r="P61" s="24"/>
      <c r="Q61" s="67"/>
      <c r="R61" s="67">
        <f t="shared" si="8"/>
        <v>0.4895350550160345</v>
      </c>
      <c r="S61" s="48"/>
    </row>
    <row r="62" spans="1:19" ht="12.75">
      <c r="A62" s="15">
        <v>1</v>
      </c>
      <c r="B62" s="15">
        <v>3.573</v>
      </c>
      <c r="C62" s="16"/>
      <c r="D62" s="17"/>
      <c r="E62" s="30">
        <v>725</v>
      </c>
      <c r="F62" s="30">
        <v>725</v>
      </c>
      <c r="G62" s="30">
        <f t="shared" si="26"/>
        <v>1450</v>
      </c>
      <c r="H62" s="15">
        <v>100</v>
      </c>
      <c r="I62" s="17">
        <v>100</v>
      </c>
      <c r="J62" s="26">
        <f t="shared" si="27"/>
        <v>5136.980235025702</v>
      </c>
      <c r="K62" s="26"/>
      <c r="L62" s="62">
        <f t="shared" si="28"/>
        <v>5709.859869701982</v>
      </c>
      <c r="M62" s="26"/>
      <c r="N62" s="21"/>
      <c r="O62" s="16"/>
      <c r="P62" s="24"/>
      <c r="Q62" s="68">
        <f>1.8/(1450/J62/$J$6)</f>
        <v>0.5037783375314862</v>
      </c>
      <c r="R62" s="67">
        <f t="shared" si="8"/>
        <v>0.5037783375314862</v>
      </c>
      <c r="S62" s="65">
        <f>Q62/Q50</f>
        <v>0.9974811083123425</v>
      </c>
    </row>
    <row r="63" spans="1:19" ht="12.75">
      <c r="A63" s="15">
        <v>1</v>
      </c>
      <c r="B63" s="15">
        <v>3.537</v>
      </c>
      <c r="C63" s="16"/>
      <c r="D63" s="17"/>
      <c r="E63" s="29">
        <v>1450</v>
      </c>
      <c r="F63" s="29">
        <v>0</v>
      </c>
      <c r="G63" s="16">
        <f t="shared" si="26"/>
        <v>1450</v>
      </c>
      <c r="H63" s="15">
        <v>100</v>
      </c>
      <c r="I63" s="17">
        <v>100</v>
      </c>
      <c r="J63" s="26">
        <f t="shared" si="27"/>
        <v>5189.265021132835</v>
      </c>
      <c r="K63" s="26"/>
      <c r="L63" s="20">
        <f t="shared" si="28"/>
        <v>5774.529991838497</v>
      </c>
      <c r="M63" s="26"/>
      <c r="N63" s="21"/>
      <c r="O63" s="16"/>
      <c r="P63" s="24"/>
      <c r="Q63" s="67"/>
      <c r="R63" s="67">
        <f t="shared" si="8"/>
        <v>0.5089058524173028</v>
      </c>
      <c r="S63" s="48"/>
    </row>
    <row r="64" spans="1:19" ht="12.75">
      <c r="A64" s="15">
        <v>1</v>
      </c>
      <c r="B64" s="15">
        <v>3.634</v>
      </c>
      <c r="C64" s="16"/>
      <c r="D64" s="17"/>
      <c r="E64" s="29">
        <v>0</v>
      </c>
      <c r="F64" s="29">
        <v>1450</v>
      </c>
      <c r="G64" s="16">
        <f t="shared" si="26"/>
        <v>1450</v>
      </c>
      <c r="H64" s="15">
        <v>100</v>
      </c>
      <c r="I64" s="17">
        <v>100</v>
      </c>
      <c r="J64" s="26">
        <f t="shared" si="27"/>
        <v>5050.751342803202</v>
      </c>
      <c r="K64" s="26"/>
      <c r="L64" s="20">
        <f t="shared" si="28"/>
        <v>5603.525003677314</v>
      </c>
      <c r="M64" s="26"/>
      <c r="N64" s="21"/>
      <c r="O64" s="16"/>
      <c r="P64" s="24"/>
      <c r="Q64" s="67"/>
      <c r="R64" s="67">
        <f t="shared" si="8"/>
        <v>0.49532195927352785</v>
      </c>
      <c r="S64" s="48"/>
    </row>
    <row r="65" spans="1:19" ht="12.75">
      <c r="A65" s="15">
        <v>1</v>
      </c>
      <c r="B65" s="15">
        <v>1.648</v>
      </c>
      <c r="C65" s="16"/>
      <c r="D65" s="17"/>
      <c r="E65" s="29">
        <v>0</v>
      </c>
      <c r="F65" s="29">
        <v>600</v>
      </c>
      <c r="G65" s="16">
        <f t="shared" si="26"/>
        <v>600</v>
      </c>
      <c r="H65" s="15">
        <v>100</v>
      </c>
      <c r="I65" s="17">
        <v>100</v>
      </c>
      <c r="J65" s="26">
        <f t="shared" si="27"/>
        <v>4608.578100036869</v>
      </c>
      <c r="K65" s="26"/>
      <c r="L65" s="20">
        <f t="shared" si="28"/>
        <v>5064.434376536476</v>
      </c>
      <c r="M65" s="26"/>
      <c r="N65" s="21"/>
      <c r="O65" s="16"/>
      <c r="P65" s="24"/>
      <c r="Q65" s="67"/>
      <c r="R65" s="67">
        <f t="shared" si="8"/>
        <v>0.4519584867760295</v>
      </c>
      <c r="S65" s="48"/>
    </row>
    <row r="66" spans="1:19" ht="12.75">
      <c r="A66" s="15">
        <v>1</v>
      </c>
      <c r="B66" s="15">
        <v>1.684</v>
      </c>
      <c r="C66" s="16"/>
      <c r="D66" s="17"/>
      <c r="E66" s="29">
        <v>600</v>
      </c>
      <c r="F66" s="29">
        <v>0</v>
      </c>
      <c r="G66" s="16">
        <f t="shared" si="26"/>
        <v>600</v>
      </c>
      <c r="H66" s="15">
        <v>100</v>
      </c>
      <c r="I66" s="17">
        <v>100</v>
      </c>
      <c r="J66" s="26">
        <f t="shared" si="27"/>
        <v>4510.057428064584</v>
      </c>
      <c r="K66" s="26"/>
      <c r="L66" s="20">
        <f t="shared" si="28"/>
        <v>4945.710523441638</v>
      </c>
      <c r="M66" s="26"/>
      <c r="N66" s="21"/>
      <c r="O66" s="16"/>
      <c r="P66" s="24"/>
      <c r="Q66" s="67"/>
      <c r="R66" s="67">
        <f t="shared" si="8"/>
        <v>0.442296666393644</v>
      </c>
      <c r="S66" s="48"/>
    </row>
    <row r="67" spans="1:19" ht="12.75">
      <c r="A67" s="15"/>
      <c r="B67" s="15"/>
      <c r="C67" s="16"/>
      <c r="D67" s="17"/>
      <c r="E67" s="16"/>
      <c r="F67" s="16"/>
      <c r="G67" s="16"/>
      <c r="H67" s="15"/>
      <c r="I67" s="17"/>
      <c r="J67" s="26"/>
      <c r="K67" s="26"/>
      <c r="L67" s="20"/>
      <c r="M67" s="26"/>
      <c r="N67" s="21"/>
      <c r="O67" s="16"/>
      <c r="P67" s="24"/>
      <c r="Q67" s="67"/>
      <c r="R67" s="67"/>
      <c r="S67" s="48"/>
    </row>
    <row r="68" spans="1:19" ht="12.75">
      <c r="A68" s="15">
        <v>1</v>
      </c>
      <c r="B68" s="15">
        <v>2.013</v>
      </c>
      <c r="C68" s="16"/>
      <c r="D68" s="17"/>
      <c r="E68" s="16">
        <v>100</v>
      </c>
      <c r="F68" s="16">
        <v>100</v>
      </c>
      <c r="G68" s="16">
        <f t="shared" si="26"/>
        <v>200</v>
      </c>
      <c r="H68" s="15">
        <v>0</v>
      </c>
      <c r="I68" s="17">
        <v>0</v>
      </c>
      <c r="J68" s="26">
        <f t="shared" si="27"/>
        <v>1257.6480723399172</v>
      </c>
      <c r="K68" s="26"/>
      <c r="L68" s="20">
        <f t="shared" si="28"/>
        <v>1289.3181602074515</v>
      </c>
      <c r="M68" s="26"/>
      <c r="N68" s="21"/>
      <c r="O68" s="16"/>
      <c r="P68" s="24"/>
      <c r="Q68" s="67"/>
      <c r="R68" s="67">
        <f>(9/B68)*(G68/1450)</f>
        <v>0.6166812271956421</v>
      </c>
      <c r="S68" s="48"/>
    </row>
    <row r="69" spans="1:19" ht="12.75">
      <c r="A69" s="15">
        <v>1</v>
      </c>
      <c r="B69" s="15">
        <v>4.047</v>
      </c>
      <c r="C69" s="16"/>
      <c r="D69" s="17"/>
      <c r="E69" s="16">
        <v>200</v>
      </c>
      <c r="F69" s="16">
        <v>200</v>
      </c>
      <c r="G69" s="16">
        <f t="shared" si="26"/>
        <v>400</v>
      </c>
      <c r="H69" s="15">
        <v>0</v>
      </c>
      <c r="I69" s="17">
        <v>0</v>
      </c>
      <c r="J69" s="26">
        <f t="shared" si="27"/>
        <v>1251.1221001335575</v>
      </c>
      <c r="K69" s="26"/>
      <c r="L69" s="20">
        <f t="shared" si="28"/>
        <v>1282.4602717853932</v>
      </c>
      <c r="M69" s="26"/>
      <c r="N69" s="21"/>
      <c r="O69" s="16"/>
      <c r="P69" s="24"/>
      <c r="Q69" s="67"/>
      <c r="R69" s="67">
        <f aca="true" t="shared" si="29" ref="R69:R74">(9/B69)*(G69/1450)</f>
        <v>0.6134812504792823</v>
      </c>
      <c r="S69" s="48"/>
    </row>
    <row r="70" spans="1:19" ht="12.75">
      <c r="A70" s="15">
        <v>1</v>
      </c>
      <c r="B70" s="15">
        <v>6.012</v>
      </c>
      <c r="C70" s="16"/>
      <c r="D70" s="17"/>
      <c r="E70" s="16">
        <v>300</v>
      </c>
      <c r="F70" s="16">
        <v>300</v>
      </c>
      <c r="G70" s="16">
        <f t="shared" si="26"/>
        <v>600</v>
      </c>
      <c r="H70" s="15">
        <v>0</v>
      </c>
      <c r="I70" s="17">
        <v>0</v>
      </c>
      <c r="J70" s="26">
        <f t="shared" si="27"/>
        <v>1263.296192425276</v>
      </c>
      <c r="K70" s="26"/>
      <c r="L70" s="20">
        <f t="shared" si="28"/>
        <v>1295.2549952318427</v>
      </c>
      <c r="M70" s="26"/>
      <c r="N70" s="21"/>
      <c r="O70" s="16"/>
      <c r="P70" s="24"/>
      <c r="Q70" s="67"/>
      <c r="R70" s="67">
        <f t="shared" si="29"/>
        <v>0.6194507536650836</v>
      </c>
      <c r="S70" s="48"/>
    </row>
    <row r="71" spans="1:19" ht="12.75">
      <c r="A71" s="15">
        <v>1</v>
      </c>
      <c r="B71" s="15">
        <v>7.895</v>
      </c>
      <c r="C71" s="16"/>
      <c r="D71" s="17"/>
      <c r="E71" s="16">
        <v>400</v>
      </c>
      <c r="F71" s="16">
        <v>400</v>
      </c>
      <c r="G71" s="16">
        <f t="shared" si="26"/>
        <v>800</v>
      </c>
      <c r="H71" s="15">
        <v>0</v>
      </c>
      <c r="I71" s="17">
        <v>0</v>
      </c>
      <c r="J71" s="26">
        <f t="shared" si="27"/>
        <v>1282.6576666853723</v>
      </c>
      <c r="K71" s="26"/>
      <c r="L71" s="20">
        <f t="shared" si="28"/>
        <v>1315.6163662675965</v>
      </c>
      <c r="M71" s="26"/>
      <c r="N71" s="21"/>
      <c r="O71" s="16"/>
      <c r="P71" s="24"/>
      <c r="Q71" s="67"/>
      <c r="R71" s="67">
        <f t="shared" si="29"/>
        <v>0.6289445524229652</v>
      </c>
      <c r="S71" s="48"/>
    </row>
    <row r="72" spans="1:19" ht="12.75">
      <c r="A72" s="15">
        <v>1</v>
      </c>
      <c r="B72" s="15">
        <v>9.727</v>
      </c>
      <c r="C72" s="16"/>
      <c r="D72" s="17"/>
      <c r="E72" s="16">
        <v>500</v>
      </c>
      <c r="F72" s="16">
        <v>500</v>
      </c>
      <c r="G72" s="16">
        <f t="shared" si="26"/>
        <v>1000</v>
      </c>
      <c r="H72" s="15">
        <v>0</v>
      </c>
      <c r="I72" s="17">
        <v>0</v>
      </c>
      <c r="J72" s="26">
        <f t="shared" si="27"/>
        <v>1301.3496297009629</v>
      </c>
      <c r="K72" s="26"/>
      <c r="L72" s="20">
        <f t="shared" si="28"/>
        <v>1335.288640999971</v>
      </c>
      <c r="M72" s="26"/>
      <c r="N72" s="21"/>
      <c r="O72" s="16"/>
      <c r="P72" s="24"/>
      <c r="Q72" s="67"/>
      <c r="R72" s="69">
        <f t="shared" si="29"/>
        <v>0.6381100598050928</v>
      </c>
      <c r="S72" s="48"/>
    </row>
    <row r="73" spans="1:19" ht="12.75">
      <c r="A73" s="15">
        <v>1</v>
      </c>
      <c r="B73" s="15">
        <v>11.501</v>
      </c>
      <c r="C73" s="16"/>
      <c r="D73" s="17"/>
      <c r="E73" s="16">
        <v>600</v>
      </c>
      <c r="F73" s="16">
        <v>600</v>
      </c>
      <c r="G73" s="16">
        <f t="shared" si="26"/>
        <v>1200</v>
      </c>
      <c r="H73" s="15">
        <v>0</v>
      </c>
      <c r="I73" s="17">
        <v>0</v>
      </c>
      <c r="J73" s="26">
        <f t="shared" si="27"/>
        <v>1320.7437107835422</v>
      </c>
      <c r="K73" s="26"/>
      <c r="L73" s="20">
        <f t="shared" si="28"/>
        <v>1355.715442107279</v>
      </c>
      <c r="M73" s="26"/>
      <c r="N73" s="21"/>
      <c r="O73" s="16"/>
      <c r="P73" s="24"/>
      <c r="Q73" s="67"/>
      <c r="R73" s="67">
        <f t="shared" si="29"/>
        <v>0.6476198471497231</v>
      </c>
      <c r="S73" s="48"/>
    </row>
    <row r="74" spans="1:19" ht="12.75">
      <c r="A74" s="7">
        <v>1</v>
      </c>
      <c r="B74" s="7">
        <v>13.654</v>
      </c>
      <c r="C74" s="11"/>
      <c r="D74" s="8"/>
      <c r="E74" s="70">
        <v>725</v>
      </c>
      <c r="F74" s="70">
        <v>725</v>
      </c>
      <c r="G74" s="70">
        <f t="shared" si="26"/>
        <v>1450</v>
      </c>
      <c r="H74" s="7">
        <v>0</v>
      </c>
      <c r="I74" s="8">
        <v>0</v>
      </c>
      <c r="J74" s="27">
        <f t="shared" si="27"/>
        <v>1344.2529939758924</v>
      </c>
      <c r="K74" s="27"/>
      <c r="L74" s="63">
        <f t="shared" si="28"/>
        <v>1380.4978848927774</v>
      </c>
      <c r="M74" s="27"/>
      <c r="N74" s="23"/>
      <c r="O74" s="11"/>
      <c r="P74" s="14"/>
      <c r="Q74" s="71">
        <f>9/(1450/J74/$J$6)</f>
        <v>0.6591475025633513</v>
      </c>
      <c r="R74" s="72">
        <f t="shared" si="29"/>
        <v>0.6591475025633514</v>
      </c>
      <c r="S74" s="45"/>
    </row>
  </sheetData>
  <mergeCells count="2">
    <mergeCell ref="Q8:R8"/>
    <mergeCell ref="Q40:R40"/>
  </mergeCells>
  <printOptions/>
  <pageMargins left="0.75" right="0.75" top="1" bottom="1" header="0.5" footer="0.5"/>
  <pageSetup fitToHeight="0" fitToWidth="1" horizontalDpi="600" verticalDpi="600" orientation="landscape" scale="69" r:id="rId1"/>
  <rowBreaks count="1" manualBreakCount="1">
    <brk id="3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Diffendaffer</dc:creator>
  <cp:keywords/>
  <dc:description/>
  <cp:lastModifiedBy>Kathy Theiss</cp:lastModifiedBy>
  <cp:lastPrinted>2002-03-20T00:20:11Z</cp:lastPrinted>
  <dcterms:created xsi:type="dcterms:W3CDTF">2002-03-19T20:18:54Z</dcterms:created>
  <dcterms:modified xsi:type="dcterms:W3CDTF">2006-06-25T05:18:13Z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1956827435</vt:i4>
  </property>
  <property fmtid="{D5CDD505-2E9C-101B-9397-08002B2CF9AE}" pid="3" name="_EmailSubject">
    <vt:lpwstr>From Ken</vt:lpwstr>
  </property>
  <property fmtid="{D5CDD505-2E9C-101B-9397-08002B2CF9AE}" pid="4" name="_AuthorEmail">
    <vt:lpwstr>kperegoy@GNBValves.com</vt:lpwstr>
  </property>
  <property fmtid="{D5CDD505-2E9C-101B-9397-08002B2CF9AE}" pid="5" name="_AuthorEmailDisplayName">
    <vt:lpwstr>Ken Peregoy</vt:lpwstr>
  </property>
  <property fmtid="{D5CDD505-2E9C-101B-9397-08002B2CF9AE}" pid="6" name="_ReviewingToolsShownOnce">
    <vt:lpwstr/>
  </property>
</Properties>
</file>